
<file path=[Content_Types].xml><?xml version="1.0" encoding="utf-8"?>
<Types xmlns="http://schemas.openxmlformats.org/package/2006/content-type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225" yWindow="0" windowWidth="19440" windowHeight="11040" tabRatio="702"/>
  </bookViews>
  <sheets>
    <sheet name="Company" sheetId="1" r:id="rId1"/>
    <sheet name="Valuation" sheetId="19" r:id="rId2"/>
    <sheet name="Risk" sheetId="8" r:id="rId3"/>
    <sheet name="1.INTIMATES" sheetId="14" r:id="rId4"/>
    <sheet name="2.INSTITUTIONAL" sheetId="16" r:id="rId5"/>
    <sheet name="3. LICENCE IP" sheetId="18" r:id="rId6"/>
    <sheet name="Other methods" sheetId="7" r:id="rId7"/>
    <sheet name="EQRP" sheetId="10" state="hidden" r:id="rId8"/>
    <sheet name="INF" sheetId="11" state="hidden" r:id="rId9"/>
  </sheets>
  <calcPr calcId="144525"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8" l="1"/>
  <c r="Q23" i="1"/>
  <c r="E26" i="1"/>
  <c r="B5" i="18"/>
  <c r="G3" i="18"/>
  <c r="H3" i="18"/>
  <c r="H5" i="18"/>
  <c r="D5" i="18"/>
  <c r="D11" i="18"/>
  <c r="C17" i="18"/>
  <c r="E23" i="1"/>
  <c r="B5" i="14"/>
  <c r="G3" i="14"/>
  <c r="H3" i="14"/>
  <c r="H5" i="14"/>
  <c r="H7" i="14"/>
  <c r="H9" i="14"/>
  <c r="D20" i="7"/>
  <c r="D5" i="7"/>
  <c r="D6" i="7"/>
  <c r="D7" i="7"/>
  <c r="D8" i="7"/>
  <c r="D9" i="7"/>
  <c r="D10" i="7"/>
  <c r="D11" i="7"/>
  <c r="D12" i="7"/>
  <c r="D13" i="7"/>
  <c r="D14" i="7"/>
  <c r="D15" i="7"/>
  <c r="D16" i="7"/>
  <c r="D17" i="7"/>
  <c r="D18" i="7"/>
  <c r="D21" i="7"/>
  <c r="D22" i="7"/>
  <c r="G7" i="14"/>
  <c r="G8" i="14"/>
  <c r="G10" i="14"/>
  <c r="D11" i="14"/>
  <c r="H11" i="14"/>
  <c r="G11" i="14"/>
  <c r="H12" i="14"/>
  <c r="G12" i="14"/>
  <c r="G13" i="14"/>
  <c r="B14" i="14"/>
  <c r="G14" i="14"/>
  <c r="G15" i="14"/>
  <c r="G16" i="14"/>
  <c r="G17" i="14"/>
  <c r="G18" i="14"/>
  <c r="G19" i="14"/>
  <c r="I3" i="14"/>
  <c r="I4" i="14"/>
  <c r="I5" i="14"/>
  <c r="I7" i="14"/>
  <c r="I8" i="14"/>
  <c r="D21" i="14"/>
  <c r="H21" i="14"/>
  <c r="G21" i="14"/>
  <c r="G22" i="14"/>
  <c r="G23" i="14"/>
  <c r="H8" i="14"/>
  <c r="H10" i="14"/>
  <c r="H13" i="14"/>
  <c r="H14" i="14"/>
  <c r="H15" i="14"/>
  <c r="H16" i="14"/>
  <c r="H17" i="14"/>
  <c r="H18" i="14"/>
  <c r="H19" i="14"/>
  <c r="H22" i="14"/>
  <c r="H23" i="14"/>
  <c r="G27" i="14"/>
  <c r="G4" i="16"/>
  <c r="G10" i="16"/>
  <c r="G11" i="16"/>
  <c r="G13" i="16"/>
  <c r="B6" i="16"/>
  <c r="H4" i="16"/>
  <c r="H6" i="16"/>
  <c r="H8" i="16"/>
  <c r="H10" i="16"/>
  <c r="D14" i="16"/>
  <c r="H14" i="16"/>
  <c r="G14" i="16"/>
  <c r="H15" i="16"/>
  <c r="G15" i="16"/>
  <c r="G16" i="16"/>
  <c r="B17" i="16"/>
  <c r="G17" i="16"/>
  <c r="G18" i="16"/>
  <c r="G19" i="16"/>
  <c r="G20" i="16"/>
  <c r="G21" i="16"/>
  <c r="G22" i="16"/>
  <c r="I4" i="16"/>
  <c r="I5" i="16"/>
  <c r="I6" i="16"/>
  <c r="I7" i="16"/>
  <c r="I8" i="16"/>
  <c r="I10" i="16"/>
  <c r="I11" i="16"/>
  <c r="D24" i="16"/>
  <c r="H24" i="16"/>
  <c r="G24" i="16"/>
  <c r="G25" i="16"/>
  <c r="G26" i="16"/>
  <c r="H11" i="16"/>
  <c r="H12" i="16"/>
  <c r="H13" i="16"/>
  <c r="H16" i="16"/>
  <c r="H17" i="16"/>
  <c r="H18" i="16"/>
  <c r="H19" i="16"/>
  <c r="H20" i="16"/>
  <c r="H21" i="16"/>
  <c r="H22" i="16"/>
  <c r="H25" i="16"/>
  <c r="H26" i="16"/>
  <c r="G30" i="16"/>
  <c r="D23" i="7"/>
  <c r="D24" i="7"/>
  <c r="I4" i="18"/>
  <c r="C5" i="14"/>
  <c r="J4" i="14"/>
  <c r="F16" i="7"/>
  <c r="C5" i="18"/>
  <c r="J4" i="18"/>
  <c r="K4" i="18"/>
  <c r="L4" i="18"/>
  <c r="M4" i="18"/>
  <c r="N4" i="18"/>
  <c r="O4" i="18"/>
  <c r="P4" i="18"/>
  <c r="Q4" i="18"/>
  <c r="R4" i="18"/>
  <c r="S4" i="18"/>
  <c r="T4" i="18"/>
  <c r="U4" i="18"/>
  <c r="V4" i="18"/>
  <c r="W4" i="18"/>
  <c r="X4" i="18"/>
  <c r="Y4" i="18"/>
  <c r="I27" i="1"/>
  <c r="N23" i="1"/>
  <c r="O23" i="1"/>
  <c r="H24" i="1"/>
  <c r="E24" i="1"/>
  <c r="D32" i="8"/>
  <c r="B24" i="14"/>
  <c r="F32" i="8"/>
  <c r="B23" i="18"/>
  <c r="F12" i="19"/>
  <c r="F32" i="19"/>
  <c r="F29" i="19"/>
  <c r="E29" i="19"/>
  <c r="D29" i="19"/>
  <c r="E28" i="19"/>
  <c r="D28" i="19"/>
  <c r="F27" i="19"/>
  <c r="E27" i="19"/>
  <c r="D27" i="19"/>
  <c r="F26" i="19"/>
  <c r="E26" i="19"/>
  <c r="D26" i="19"/>
  <c r="F25" i="19"/>
  <c r="E25" i="19"/>
  <c r="D25" i="19"/>
  <c r="F24" i="19"/>
  <c r="E24" i="19"/>
  <c r="D24" i="19"/>
  <c r="F23" i="19"/>
  <c r="E23" i="19"/>
  <c r="D23" i="19"/>
  <c r="F22" i="19"/>
  <c r="E22" i="19"/>
  <c r="D22" i="19"/>
  <c r="F21" i="19"/>
  <c r="E21" i="19"/>
  <c r="D21" i="19"/>
  <c r="F20" i="19"/>
  <c r="E20" i="19"/>
  <c r="D20" i="19"/>
  <c r="F19" i="19"/>
  <c r="E19" i="19"/>
  <c r="D19" i="19"/>
  <c r="F18" i="19"/>
  <c r="E18" i="19"/>
  <c r="F17" i="19"/>
  <c r="E17" i="19"/>
  <c r="D17" i="19"/>
  <c r="D18" i="19"/>
  <c r="G10" i="19"/>
  <c r="G9" i="19"/>
  <c r="F10" i="19"/>
  <c r="F9" i="19"/>
  <c r="J10" i="19"/>
  <c r="J9" i="19"/>
  <c r="I10" i="19"/>
  <c r="I9" i="19"/>
  <c r="H12" i="19"/>
  <c r="H10" i="19"/>
  <c r="H9" i="19"/>
  <c r="E12" i="19"/>
  <c r="E32" i="8"/>
  <c r="E10" i="19"/>
  <c r="E9" i="19"/>
  <c r="B7" i="18"/>
  <c r="G12" i="19"/>
  <c r="K4" i="14"/>
  <c r="J3" i="14"/>
  <c r="J5" i="14"/>
  <c r="I20" i="16"/>
  <c r="J20" i="16"/>
  <c r="K20" i="16"/>
  <c r="L20" i="16"/>
  <c r="M20" i="16"/>
  <c r="N20" i="16"/>
  <c r="L4" i="14"/>
  <c r="K3" i="14"/>
  <c r="K5" i="14"/>
  <c r="B26" i="18"/>
  <c r="B14" i="18"/>
  <c r="I1" i="18"/>
  <c r="J1" i="18"/>
  <c r="K1" i="18"/>
  <c r="L1" i="18"/>
  <c r="M1" i="18"/>
  <c r="N1" i="18"/>
  <c r="O1" i="18"/>
  <c r="P1" i="18"/>
  <c r="Q1" i="18"/>
  <c r="R1" i="18"/>
  <c r="S1" i="18"/>
  <c r="T1" i="18"/>
  <c r="U1" i="18"/>
  <c r="V1" i="18"/>
  <c r="W1" i="18"/>
  <c r="X1" i="18"/>
  <c r="Y1" i="18"/>
  <c r="M4" i="14"/>
  <c r="L3" i="14"/>
  <c r="L5" i="14"/>
  <c r="G7" i="18"/>
  <c r="G14" i="18"/>
  <c r="G23" i="18"/>
  <c r="G10" i="18"/>
  <c r="N4" i="14"/>
  <c r="M3" i="14"/>
  <c r="N3" i="14"/>
  <c r="N5" i="14"/>
  <c r="M5" i="14"/>
  <c r="I3" i="18"/>
  <c r="H7" i="18"/>
  <c r="H23" i="18"/>
  <c r="G13" i="18"/>
  <c r="G8" i="18"/>
  <c r="C8" i="16"/>
  <c r="C6" i="16"/>
  <c r="H1" i="16"/>
  <c r="I1" i="16"/>
  <c r="J1" i="16"/>
  <c r="K1" i="16"/>
  <c r="L1" i="16"/>
  <c r="M1" i="16"/>
  <c r="N1" i="16"/>
  <c r="I23" i="18"/>
  <c r="I5" i="18"/>
  <c r="I7" i="18"/>
  <c r="J3" i="18"/>
  <c r="J5" i="18"/>
  <c r="H12" i="18"/>
  <c r="G12" i="18"/>
  <c r="H8" i="18"/>
  <c r="H13" i="18"/>
  <c r="H11" i="18"/>
  <c r="G11" i="18"/>
  <c r="I17" i="14"/>
  <c r="J17" i="14"/>
  <c r="K17" i="14"/>
  <c r="L17" i="14"/>
  <c r="M17" i="14"/>
  <c r="N17" i="14"/>
  <c r="H1" i="14"/>
  <c r="I1" i="14"/>
  <c r="J1" i="14"/>
  <c r="K1" i="14"/>
  <c r="L1" i="14"/>
  <c r="M1" i="14"/>
  <c r="N1" i="14"/>
  <c r="J7" i="16"/>
  <c r="J5" i="16"/>
  <c r="I6" i="18"/>
  <c r="K3" i="18"/>
  <c r="K5" i="18"/>
  <c r="J6" i="18"/>
  <c r="J23" i="18"/>
  <c r="G15" i="18"/>
  <c r="G16" i="18"/>
  <c r="H14" i="18"/>
  <c r="H10" i="18"/>
  <c r="I13" i="18"/>
  <c r="I12" i="18"/>
  <c r="I11" i="18"/>
  <c r="I8" i="18"/>
  <c r="H20" i="18"/>
  <c r="G20" i="18"/>
  <c r="O3" i="14"/>
  <c r="B27" i="16"/>
  <c r="G27" i="16"/>
  <c r="J4" i="16"/>
  <c r="J8" i="16"/>
  <c r="K7" i="16"/>
  <c r="K5" i="16"/>
  <c r="J6" i="16"/>
  <c r="J7" i="18"/>
  <c r="I9" i="16"/>
  <c r="H27" i="16"/>
  <c r="L3" i="18"/>
  <c r="L5" i="18"/>
  <c r="K7" i="18"/>
  <c r="K23" i="18"/>
  <c r="N7" i="14"/>
  <c r="G17" i="18"/>
  <c r="G18" i="18"/>
  <c r="G21" i="18"/>
  <c r="G24" i="18"/>
  <c r="H15" i="18"/>
  <c r="H16" i="18"/>
  <c r="I14" i="18"/>
  <c r="I10" i="18"/>
  <c r="I12" i="14"/>
  <c r="I27" i="16"/>
  <c r="K6" i="14"/>
  <c r="I6" i="14"/>
  <c r="M6" i="14"/>
  <c r="J7" i="14"/>
  <c r="J11" i="14"/>
  <c r="L6" i="14"/>
  <c r="J6" i="14"/>
  <c r="L7" i="14"/>
  <c r="M7" i="14"/>
  <c r="K7" i="14"/>
  <c r="J13" i="18"/>
  <c r="K4" i="16"/>
  <c r="K8" i="16"/>
  <c r="L7" i="16"/>
  <c r="K6" i="16"/>
  <c r="L5" i="16"/>
  <c r="J11" i="18"/>
  <c r="J12" i="18"/>
  <c r="J8" i="18"/>
  <c r="I20" i="18"/>
  <c r="I16" i="16"/>
  <c r="J9" i="16"/>
  <c r="K6" i="18"/>
  <c r="M3" i="18"/>
  <c r="M5" i="18"/>
  <c r="L7" i="18"/>
  <c r="L23" i="18"/>
  <c r="N8" i="14"/>
  <c r="M21" i="14"/>
  <c r="N21" i="14"/>
  <c r="N13" i="14"/>
  <c r="N12" i="14"/>
  <c r="N11" i="14"/>
  <c r="N6" i="14"/>
  <c r="G22" i="18"/>
  <c r="H17" i="18"/>
  <c r="H18" i="18"/>
  <c r="I15" i="18"/>
  <c r="I16" i="18"/>
  <c r="K13" i="18"/>
  <c r="K12" i="18"/>
  <c r="K11" i="18"/>
  <c r="K8" i="18"/>
  <c r="J20" i="18"/>
  <c r="I11" i="14"/>
  <c r="I13" i="14"/>
  <c r="J27" i="16"/>
  <c r="J12" i="14"/>
  <c r="J13" i="14"/>
  <c r="J8" i="14"/>
  <c r="I21" i="14"/>
  <c r="K8" i="14"/>
  <c r="K13" i="14"/>
  <c r="K11" i="14"/>
  <c r="K12" i="14"/>
  <c r="M8" i="14"/>
  <c r="L21" i="14"/>
  <c r="M11" i="14"/>
  <c r="M12" i="14"/>
  <c r="M13" i="14"/>
  <c r="L8" i="14"/>
  <c r="L12" i="14"/>
  <c r="L11" i="14"/>
  <c r="L13" i="14"/>
  <c r="J14" i="18"/>
  <c r="J10" i="18"/>
  <c r="L4" i="16"/>
  <c r="L8" i="16"/>
  <c r="M7" i="16"/>
  <c r="L6" i="16"/>
  <c r="M5" i="16"/>
  <c r="I12" i="16"/>
  <c r="I17" i="16"/>
  <c r="I14" i="16"/>
  <c r="H23" i="16"/>
  <c r="J10" i="16"/>
  <c r="J16" i="16"/>
  <c r="I15" i="16"/>
  <c r="K9" i="16"/>
  <c r="L6" i="18"/>
  <c r="N3" i="18"/>
  <c r="N5" i="18"/>
  <c r="M6" i="18"/>
  <c r="M23" i="18"/>
  <c r="I9" i="14"/>
  <c r="I10" i="14"/>
  <c r="H21" i="18"/>
  <c r="H24" i="18"/>
  <c r="H19" i="18"/>
  <c r="I17" i="18"/>
  <c r="I18" i="18"/>
  <c r="L12" i="18"/>
  <c r="L8" i="18"/>
  <c r="K20" i="18"/>
  <c r="L13" i="18"/>
  <c r="L11" i="18"/>
  <c r="K10" i="18"/>
  <c r="K14" i="18"/>
  <c r="K27" i="16"/>
  <c r="K21" i="14"/>
  <c r="J21" i="14"/>
  <c r="J15" i="18"/>
  <c r="J16" i="18"/>
  <c r="J17" i="18"/>
  <c r="J18" i="18"/>
  <c r="M4" i="16"/>
  <c r="M8" i="16"/>
  <c r="N7" i="16"/>
  <c r="N4" i="16"/>
  <c r="N8" i="16"/>
  <c r="M6" i="16"/>
  <c r="N5" i="16"/>
  <c r="N6" i="16"/>
  <c r="G28" i="16"/>
  <c r="J15" i="16"/>
  <c r="I13" i="16"/>
  <c r="I18" i="16"/>
  <c r="I19" i="16"/>
  <c r="I21" i="16"/>
  <c r="I22" i="16"/>
  <c r="J11" i="16"/>
  <c r="I24" i="16"/>
  <c r="H28" i="16"/>
  <c r="J14" i="16"/>
  <c r="J12" i="16"/>
  <c r="J13" i="16"/>
  <c r="M7" i="18"/>
  <c r="M11" i="18"/>
  <c r="K10" i="16"/>
  <c r="K11" i="16"/>
  <c r="L9" i="16"/>
  <c r="N23" i="18"/>
  <c r="N6" i="18"/>
  <c r="O3" i="18"/>
  <c r="O5" i="18"/>
  <c r="H22" i="18"/>
  <c r="I14" i="14"/>
  <c r="I15" i="14"/>
  <c r="I16" i="14"/>
  <c r="I18" i="14"/>
  <c r="I19" i="14"/>
  <c r="J9" i="14"/>
  <c r="J14" i="14"/>
  <c r="I21" i="18"/>
  <c r="I24" i="18"/>
  <c r="I19" i="18"/>
  <c r="K15" i="18"/>
  <c r="K16" i="18"/>
  <c r="L14" i="18"/>
  <c r="L10" i="18"/>
  <c r="L27" i="16"/>
  <c r="C32" i="8"/>
  <c r="M14" i="18"/>
  <c r="J17" i="16"/>
  <c r="J18" i="16"/>
  <c r="J19" i="16"/>
  <c r="J21" i="16"/>
  <c r="J22" i="16"/>
  <c r="K14" i="16"/>
  <c r="K15" i="16"/>
  <c r="L10" i="16"/>
  <c r="L14" i="16"/>
  <c r="M8" i="18"/>
  <c r="L20" i="18"/>
  <c r="M12" i="18"/>
  <c r="M13" i="18"/>
  <c r="K16" i="16"/>
  <c r="K12" i="16"/>
  <c r="M9" i="16"/>
  <c r="F28" i="19"/>
  <c r="F30" i="19"/>
  <c r="F33" i="19"/>
  <c r="F34" i="19"/>
  <c r="N7" i="18"/>
  <c r="N13" i="18"/>
  <c r="P3" i="18"/>
  <c r="P5" i="18"/>
  <c r="O23" i="18"/>
  <c r="I22" i="18"/>
  <c r="K9" i="14"/>
  <c r="L9" i="14"/>
  <c r="J10" i="14"/>
  <c r="J15" i="14"/>
  <c r="J16" i="14"/>
  <c r="J21" i="18"/>
  <c r="J24" i="18"/>
  <c r="J19" i="18"/>
  <c r="K17" i="18"/>
  <c r="K18" i="18"/>
  <c r="L15" i="18"/>
  <c r="L16" i="18"/>
  <c r="J24" i="16"/>
  <c r="M27" i="16"/>
  <c r="I25" i="16"/>
  <c r="I23" i="16"/>
  <c r="I20" i="14"/>
  <c r="I22" i="14"/>
  <c r="H20" i="14"/>
  <c r="O24" i="14"/>
  <c r="M10" i="18"/>
  <c r="M15" i="18"/>
  <c r="M16" i="18"/>
  <c r="N10" i="18"/>
  <c r="K9" i="19"/>
  <c r="L15" i="16"/>
  <c r="L12" i="16"/>
  <c r="L17" i="16"/>
  <c r="L16" i="16"/>
  <c r="L11" i="16"/>
  <c r="K24" i="16"/>
  <c r="K17" i="16"/>
  <c r="N8" i="18"/>
  <c r="M20" i="18"/>
  <c r="K13" i="16"/>
  <c r="M10" i="16"/>
  <c r="M16" i="16"/>
  <c r="N9" i="16"/>
  <c r="K10" i="14"/>
  <c r="K14" i="14"/>
  <c r="N11" i="18"/>
  <c r="N12" i="18"/>
  <c r="P23" i="18"/>
  <c r="Q3" i="18"/>
  <c r="Q5" i="18"/>
  <c r="O7" i="18"/>
  <c r="O6" i="18"/>
  <c r="J22" i="18"/>
  <c r="K21" i="18"/>
  <c r="K24" i="18"/>
  <c r="K19" i="18"/>
  <c r="L17" i="18"/>
  <c r="L18" i="18"/>
  <c r="O4" i="16"/>
  <c r="O27" i="16"/>
  <c r="N27" i="16"/>
  <c r="J25" i="16"/>
  <c r="J28" i="16"/>
  <c r="J23" i="16"/>
  <c r="I28" i="16"/>
  <c r="I26" i="16"/>
  <c r="I23" i="14"/>
  <c r="J18" i="14"/>
  <c r="J19" i="14"/>
  <c r="L14" i="14"/>
  <c r="L10" i="14"/>
  <c r="H24" i="14"/>
  <c r="H25" i="14"/>
  <c r="L24" i="14"/>
  <c r="I24" i="14"/>
  <c r="I25" i="14"/>
  <c r="M24" i="14"/>
  <c r="J24" i="14"/>
  <c r="N24" i="14"/>
  <c r="K24" i="14"/>
  <c r="G24" i="14"/>
  <c r="G25" i="14"/>
  <c r="M9" i="14"/>
  <c r="N14" i="18"/>
  <c r="N15" i="18"/>
  <c r="N16" i="18"/>
  <c r="O14" i="18"/>
  <c r="G29" i="14"/>
  <c r="K10" i="19"/>
  <c r="K11" i="19"/>
  <c r="L13" i="16"/>
  <c r="L18" i="16"/>
  <c r="L19" i="16"/>
  <c r="L21" i="16"/>
  <c r="L22" i="16"/>
  <c r="K18" i="16"/>
  <c r="K19" i="16"/>
  <c r="K21" i="16"/>
  <c r="K22" i="16"/>
  <c r="K25" i="16"/>
  <c r="K28" i="16"/>
  <c r="M12" i="16"/>
  <c r="M17" i="16"/>
  <c r="M14" i="16"/>
  <c r="M15" i="16"/>
  <c r="M11" i="16"/>
  <c r="L24" i="16"/>
  <c r="N10" i="16"/>
  <c r="N16" i="16"/>
  <c r="K15" i="14"/>
  <c r="K16" i="14"/>
  <c r="K18" i="14"/>
  <c r="K19" i="14"/>
  <c r="O13" i="18"/>
  <c r="O8" i="18"/>
  <c r="N20" i="18"/>
  <c r="O12" i="18"/>
  <c r="O11" i="18"/>
  <c r="Q23" i="18"/>
  <c r="R3" i="18"/>
  <c r="R5" i="18"/>
  <c r="P6" i="18"/>
  <c r="P7" i="18"/>
  <c r="K22" i="18"/>
  <c r="L21" i="18"/>
  <c r="L24" i="18"/>
  <c r="L19" i="18"/>
  <c r="M17" i="18"/>
  <c r="M18" i="18"/>
  <c r="J26" i="16"/>
  <c r="J22" i="14"/>
  <c r="J23" i="14"/>
  <c r="J20" i="14"/>
  <c r="L15" i="14"/>
  <c r="L16" i="14"/>
  <c r="M14" i="14"/>
  <c r="M10" i="14"/>
  <c r="N9" i="14"/>
  <c r="N10" i="14"/>
  <c r="O10" i="18"/>
  <c r="O15" i="18"/>
  <c r="O16" i="18"/>
  <c r="O17" i="18"/>
  <c r="O18" i="18"/>
  <c r="P14" i="18"/>
  <c r="F35" i="19"/>
  <c r="F36" i="19"/>
  <c r="D38" i="19"/>
  <c r="D44" i="19"/>
  <c r="N11" i="16"/>
  <c r="M24" i="16"/>
  <c r="N24" i="16"/>
  <c r="M13" i="16"/>
  <c r="M18" i="16"/>
  <c r="M19" i="16"/>
  <c r="M21" i="16"/>
  <c r="M22" i="16"/>
  <c r="N12" i="16"/>
  <c r="N17" i="16"/>
  <c r="N14" i="16"/>
  <c r="K23" i="16"/>
  <c r="N15" i="16"/>
  <c r="S3" i="18"/>
  <c r="S5" i="18"/>
  <c r="R23" i="18"/>
  <c r="P11" i="18"/>
  <c r="P8" i="18"/>
  <c r="O20" i="18"/>
  <c r="P13" i="18"/>
  <c r="P12" i="18"/>
  <c r="Q6" i="18"/>
  <c r="Q7" i="18"/>
  <c r="L22" i="18"/>
  <c r="M21" i="18"/>
  <c r="M24" i="18"/>
  <c r="M19" i="18"/>
  <c r="N17" i="18"/>
  <c r="N18" i="18"/>
  <c r="K26" i="16"/>
  <c r="L25" i="16"/>
  <c r="L28" i="16"/>
  <c r="L23" i="16"/>
  <c r="K20" i="14"/>
  <c r="K22" i="14"/>
  <c r="L18" i="14"/>
  <c r="L19" i="14"/>
  <c r="J25" i="14"/>
  <c r="M15" i="14"/>
  <c r="M16" i="14"/>
  <c r="N14" i="14"/>
  <c r="Q14" i="18"/>
  <c r="P10" i="18"/>
  <c r="P15" i="18"/>
  <c r="P16" i="18"/>
  <c r="P17" i="18"/>
  <c r="P18" i="18"/>
  <c r="N13" i="16"/>
  <c r="N18" i="16"/>
  <c r="N19" i="16"/>
  <c r="N21" i="16"/>
  <c r="N22" i="16"/>
  <c r="T3" i="18"/>
  <c r="T5" i="18"/>
  <c r="S23" i="18"/>
  <c r="Q12" i="18"/>
  <c r="Q8" i="18"/>
  <c r="P20" i="18"/>
  <c r="Q13" i="18"/>
  <c r="Q11" i="18"/>
  <c r="R6" i="18"/>
  <c r="R7" i="18"/>
  <c r="M22" i="18"/>
  <c r="O21" i="18"/>
  <c r="O24" i="18"/>
  <c r="O19" i="18"/>
  <c r="N21" i="18"/>
  <c r="N19" i="18"/>
  <c r="M25" i="16"/>
  <c r="M28" i="16"/>
  <c r="M23" i="16"/>
  <c r="L26" i="16"/>
  <c r="L20" i="14"/>
  <c r="L22" i="14"/>
  <c r="L25" i="14"/>
  <c r="K23" i="14"/>
  <c r="K25" i="14"/>
  <c r="M18" i="14"/>
  <c r="M19" i="14"/>
  <c r="N15" i="14"/>
  <c r="N16" i="14"/>
  <c r="R14" i="18"/>
  <c r="Q10" i="18"/>
  <c r="Q15" i="18"/>
  <c r="Q16" i="18"/>
  <c r="Q17" i="18"/>
  <c r="Q18" i="18"/>
  <c r="P21" i="18"/>
  <c r="P24" i="18"/>
  <c r="T23" i="18"/>
  <c r="U3" i="18"/>
  <c r="U5" i="18"/>
  <c r="R12" i="18"/>
  <c r="R8" i="18"/>
  <c r="Q20" i="18"/>
  <c r="R13" i="18"/>
  <c r="R11" i="18"/>
  <c r="S7" i="18"/>
  <c r="S6" i="18"/>
  <c r="N22" i="18"/>
  <c r="O22" i="18"/>
  <c r="N24" i="18"/>
  <c r="P19" i="18"/>
  <c r="N25" i="16"/>
  <c r="N23" i="16"/>
  <c r="M26" i="16"/>
  <c r="M22" i="14"/>
  <c r="M25" i="14"/>
  <c r="M20" i="14"/>
  <c r="N18" i="14"/>
  <c r="N19" i="14"/>
  <c r="L23" i="14"/>
  <c r="S14" i="18"/>
  <c r="R10" i="18"/>
  <c r="R15" i="18"/>
  <c r="R16" i="18"/>
  <c r="R17" i="18"/>
  <c r="R18" i="18"/>
  <c r="P22" i="18"/>
  <c r="S12" i="18"/>
  <c r="S11" i="18"/>
  <c r="S13" i="18"/>
  <c r="S8" i="18"/>
  <c r="R20" i="18"/>
  <c r="V3" i="18"/>
  <c r="V5" i="18"/>
  <c r="U23" i="18"/>
  <c r="T6" i="18"/>
  <c r="T7" i="18"/>
  <c r="Q21" i="18"/>
  <c r="Q24" i="18"/>
  <c r="Q19" i="18"/>
  <c r="N28" i="16"/>
  <c r="O25" i="16"/>
  <c r="O28" i="16"/>
  <c r="N26" i="16"/>
  <c r="B32" i="16"/>
  <c r="M23" i="14"/>
  <c r="N22" i="14"/>
  <c r="N20" i="14"/>
  <c r="S10" i="18"/>
  <c r="S15" i="18"/>
  <c r="S16" i="18"/>
  <c r="S17" i="18"/>
  <c r="S18" i="18"/>
  <c r="T10" i="18"/>
  <c r="W3" i="18"/>
  <c r="W5" i="18"/>
  <c r="V23" i="18"/>
  <c r="T12" i="18"/>
  <c r="T11" i="18"/>
  <c r="T8" i="18"/>
  <c r="S20" i="18"/>
  <c r="T13" i="18"/>
  <c r="U6" i="18"/>
  <c r="U7" i="18"/>
  <c r="Q22" i="18"/>
  <c r="N23" i="14"/>
  <c r="B32" i="14"/>
  <c r="R21" i="18"/>
  <c r="R24" i="18"/>
  <c r="R19" i="18"/>
  <c r="G29" i="16"/>
  <c r="D32" i="16"/>
  <c r="N25" i="14"/>
  <c r="O22" i="14"/>
  <c r="O25" i="14"/>
  <c r="U10" i="18"/>
  <c r="T14" i="18"/>
  <c r="T15" i="18"/>
  <c r="T16" i="18"/>
  <c r="T17" i="18"/>
  <c r="T18" i="18"/>
  <c r="U12" i="18"/>
  <c r="U11" i="18"/>
  <c r="U8" i="18"/>
  <c r="T20" i="18"/>
  <c r="U13" i="18"/>
  <c r="W23" i="18"/>
  <c r="X3" i="18"/>
  <c r="X5" i="18"/>
  <c r="V6" i="18"/>
  <c r="V7" i="18"/>
  <c r="S21" i="18"/>
  <c r="S24" i="18"/>
  <c r="S19" i="18"/>
  <c r="R22" i="18"/>
  <c r="F1" i="16"/>
  <c r="D10" i="19"/>
  <c r="G26" i="14"/>
  <c r="D32" i="14"/>
  <c r="V14" i="18"/>
  <c r="U14" i="18"/>
  <c r="U15" i="18"/>
  <c r="U16" i="18"/>
  <c r="U17" i="18"/>
  <c r="U18" i="18"/>
  <c r="G28" i="14"/>
  <c r="Y3" i="18"/>
  <c r="X23" i="18"/>
  <c r="V12" i="18"/>
  <c r="V8" i="18"/>
  <c r="U20" i="18"/>
  <c r="V13" i="18"/>
  <c r="V11" i="18"/>
  <c r="W6" i="18"/>
  <c r="W7" i="18"/>
  <c r="S22" i="18"/>
  <c r="T21" i="18"/>
  <c r="T24" i="18"/>
  <c r="T19" i="18"/>
  <c r="F1" i="14"/>
  <c r="D9" i="19"/>
  <c r="D11" i="19"/>
  <c r="D15" i="19"/>
  <c r="D40" i="19"/>
  <c r="D42" i="19"/>
  <c r="W10" i="18"/>
  <c r="V10" i="18"/>
  <c r="V15" i="18"/>
  <c r="V16" i="18"/>
  <c r="V17" i="18"/>
  <c r="V18" i="18"/>
  <c r="Y5" i="18"/>
  <c r="D48" i="19"/>
  <c r="D46" i="19"/>
  <c r="G30" i="14"/>
  <c r="G31" i="14"/>
  <c r="U21" i="18"/>
  <c r="U24" i="18"/>
  <c r="Y23" i="18"/>
  <c r="W12" i="18"/>
  <c r="W11" i="18"/>
  <c r="W8" i="18"/>
  <c r="V20" i="18"/>
  <c r="W13" i="18"/>
  <c r="X7" i="18"/>
  <c r="X6" i="18"/>
  <c r="T22" i="18"/>
  <c r="U19" i="18"/>
  <c r="X14" i="18"/>
  <c r="W14" i="18"/>
  <c r="G32" i="14"/>
  <c r="L11" i="19"/>
  <c r="U22" i="18"/>
  <c r="X12" i="18"/>
  <c r="X11" i="18"/>
  <c r="X8" i="18"/>
  <c r="W20" i="18"/>
  <c r="X13" i="18"/>
  <c r="Y6" i="18"/>
  <c r="Y7" i="18"/>
  <c r="W15" i="18"/>
  <c r="W16" i="18"/>
  <c r="W17" i="18"/>
  <c r="W18" i="18"/>
  <c r="W21" i="18"/>
  <c r="W24" i="18"/>
  <c r="V21" i="18"/>
  <c r="V19" i="18"/>
  <c r="X10" i="18"/>
  <c r="X15" i="18"/>
  <c r="X16" i="18"/>
  <c r="X17" i="18"/>
  <c r="X18" i="18"/>
  <c r="Y14" i="18"/>
  <c r="Y10" i="18"/>
  <c r="Y8" i="18"/>
  <c r="Y13" i="18"/>
  <c r="Y11" i="18"/>
  <c r="Y12" i="18"/>
  <c r="W19" i="18"/>
  <c r="V24" i="18"/>
  <c r="V22" i="18"/>
  <c r="W22" i="18"/>
  <c r="X20" i="18"/>
  <c r="X21" i="18"/>
  <c r="X24" i="18"/>
  <c r="Y20" i="18"/>
  <c r="Y15" i="18"/>
  <c r="Y16" i="18"/>
  <c r="Y17" i="18"/>
  <c r="Y18" i="18"/>
  <c r="X19" i="18"/>
  <c r="X22" i="18"/>
  <c r="Y21" i="18"/>
  <c r="Y24" i="18"/>
  <c r="Y19" i="18"/>
  <c r="G25" i="18"/>
  <c r="G27" i="18"/>
  <c r="Y22" i="18"/>
  <c r="G26" i="18"/>
  <c r="G28" i="18"/>
  <c r="F1" i="18"/>
  <c r="D12" i="19"/>
</calcChain>
</file>

<file path=xl/sharedStrings.xml><?xml version="1.0" encoding="utf-8"?>
<sst xmlns="http://schemas.openxmlformats.org/spreadsheetml/2006/main" count="2555" uniqueCount="686">
  <si>
    <t>Company</t>
  </si>
  <si>
    <t>Business purpose</t>
  </si>
  <si>
    <t>Valithea Advisory</t>
  </si>
  <si>
    <t>Revenue model</t>
  </si>
  <si>
    <t>Location</t>
  </si>
  <si>
    <t>Technology</t>
  </si>
  <si>
    <t>Phase</t>
  </si>
  <si>
    <t>Use of funds</t>
  </si>
  <si>
    <t>Exit strategy</t>
  </si>
  <si>
    <t>Target market</t>
  </si>
  <si>
    <t>Competitors</t>
  </si>
  <si>
    <t>Expansion strategy</t>
  </si>
  <si>
    <t>Discount Rate</t>
  </si>
  <si>
    <t>REVENUE</t>
  </si>
  <si>
    <t>Employees</t>
  </si>
  <si>
    <t>Salaries</t>
  </si>
  <si>
    <t>DCF</t>
  </si>
  <si>
    <t>Pre-Money Valuation</t>
  </si>
  <si>
    <t>Shares %</t>
  </si>
  <si>
    <t>Shares accounting for future dilution %</t>
  </si>
  <si>
    <t>Italy</t>
  </si>
  <si>
    <t>Aggregate growth (customers)</t>
  </si>
  <si>
    <t>Discount factor</t>
  </si>
  <si>
    <t>TV</t>
  </si>
  <si>
    <t>Growth</t>
  </si>
  <si>
    <t>Margins %</t>
  </si>
  <si>
    <t>SYSTEMATIC RISK</t>
  </si>
  <si>
    <t>UNSYSTEMATIC RISK</t>
  </si>
  <si>
    <t>COUNTRY RISK</t>
  </si>
  <si>
    <t>FINANCIAL CRISIS EXPOSURE</t>
  </si>
  <si>
    <t>SECTOR-SPECIFIC RISK AND UNCERTAIN BUSINESS CYCLE</t>
  </si>
  <si>
    <t>VOLATILITY OF CASH FLOWS</t>
  </si>
  <si>
    <t>CAPITAL STRUCTURE RISK</t>
  </si>
  <si>
    <t>RISK OF INSOLVENCY</t>
  </si>
  <si>
    <t>LOW RECOVERY RATE OF ASSETS</t>
  </si>
  <si>
    <t>EXCHANGE RATE RISK</t>
  </si>
  <si>
    <t>INFLATION IN HIGH RISK COUNTRY</t>
  </si>
  <si>
    <t>LEGAL &amp; TAX RISK</t>
  </si>
  <si>
    <t>OWNERSHIP/ GOVERNANCE</t>
  </si>
  <si>
    <t>LACK OF FLEXIBILITY TO MARKET CHANGES</t>
  </si>
  <si>
    <t>LACK OF COMPETITIVENESS</t>
  </si>
  <si>
    <t>LIMITED SIZE AND MARKET POWER</t>
  </si>
  <si>
    <t>BUSINESS PLAN UNCERTAINTIES AND GROWTH RISK</t>
  </si>
  <si>
    <t>NEW PROJECTS RISK</t>
  </si>
  <si>
    <t>WORKING CAPITAL ACCRUALS</t>
  </si>
  <si>
    <t>Product not scalable as originally thought/ Competition</t>
  </si>
  <si>
    <t>Inability to invest wisely</t>
  </si>
  <si>
    <t>Chaotic management of startup operations</t>
  </si>
  <si>
    <t>Significant future financing rounds necessary and too high dilution, unfavourable term-sheet conditions</t>
  </si>
  <si>
    <t>Inability to resell your shares in the medium-term and high transaction costs in %</t>
  </si>
  <si>
    <t>Comments</t>
  </si>
  <si>
    <t>Team risk</t>
  </si>
  <si>
    <t>SUM</t>
  </si>
  <si>
    <t>Median pre-money valuation</t>
  </si>
  <si>
    <t>Adjusted valuation</t>
  </si>
  <si>
    <t>Investment</t>
  </si>
  <si>
    <t>Factor adjustment</t>
  </si>
  <si>
    <t>Characteristic</t>
  </si>
  <si>
    <t xml:space="preserve">Risk Factor Summation Method </t>
  </si>
  <si>
    <t>Management</t>
  </si>
  <si>
    <t>Stage of the business</t>
  </si>
  <si>
    <t>Legislation/Political risk</t>
  </si>
  <si>
    <t>Manufacturing risk</t>
  </si>
  <si>
    <t>Sales and marketing risk</t>
  </si>
  <si>
    <t>Funding/capital raising risk</t>
  </si>
  <si>
    <t>Competition risk</t>
  </si>
  <si>
    <t>Technology risk</t>
  </si>
  <si>
    <t>Litigation risk</t>
  </si>
  <si>
    <t>International risk</t>
  </si>
  <si>
    <t>Reputation risk</t>
  </si>
  <si>
    <t>Potential lucrative exit</t>
  </si>
  <si>
    <t>-2 to +2</t>
  </si>
  <si>
    <t>Risk Factor Summation Method</t>
  </si>
  <si>
    <t>Average Post-Money Valuation</t>
  </si>
  <si>
    <t>Investment sought</t>
  </si>
  <si>
    <t>Stake %</t>
  </si>
  <si>
    <t>Pre-Money valuation</t>
  </si>
  <si>
    <t>Post-Money VALUATION</t>
  </si>
  <si>
    <t>(Investor perceived risks) out of:</t>
  </si>
  <si>
    <t>Stage risk</t>
  </si>
  <si>
    <t>One team member or Risk that you‘re not going to go through with the project</t>
  </si>
  <si>
    <t>Market needs not thoroughly researched/ USP not effective/ Market size too small/ Marketing risk</t>
  </si>
  <si>
    <t>Country Default Spreads and Risk Premiums</t>
  </si>
  <si>
    <t>Last updated: January 2013</t>
  </si>
  <si>
    <t>This table summarizes the latest bond ratings and appropriate default spreads for different countries. While you can use these numbers as rough estimates of country risk premiums, you may want to modify the premia to reflect the additonal risk of equity markets. To estimate the long term country equity risk premium, I start with a default spread, which I obtain in one of two ways:</t>
  </si>
  <si>
    <t>(1) I use the local currency sovereign rating (from Moody's: www.moodys.com) and estimate the default spread for that rating (based upon traded country bonds) over a default free government bond rate.</t>
  </si>
  <si>
    <t>(2) I start with the CDS spread for the country, if one is available and subtract out the US CDS spread, since my mature market premium is derived from the US market. That difference becomes the country spread. For the few countries that have CDS spreads that are lower than the US, I will get a negative number.</t>
  </si>
  <si>
    <t>You can add just this default spread to the mature market premium to arrive at the total equity risk premium. I add an additional step. In the short term especially, the equity country risk premium is likely to be greater than the country's default spread. You can estimate an adjusted country risk premium by multiplying the default spread by the relative equity market volatility for that market (Std dev in country equity market/Std dev in country bond). I have used the emerging market average of 1.5 (equity markets are about 1.5 times more volatile than bond markets) to estimate country risk premium.I have added this to my estimated risk premium of 5.8% for mature markets (obtained by looking at the implied premium for the S&amp;P 500) to get the total risk premium.</t>
  </si>
  <si>
    <t>Sovereign Rating based Equity Risk Premiums</t>
  </si>
  <si>
    <t>Sovereign CDS based Equity Risk Premium</t>
  </si>
  <si>
    <t>Country</t>
  </si>
  <si>
    <t>Region</t>
  </si>
  <si>
    <t xml:space="preserve"> Local Currency Rating</t>
  </si>
  <si>
    <t>Rating-based Default Spread</t>
  </si>
  <si>
    <t>Total Equity Risk Premium</t>
  </si>
  <si>
    <t>Country Risk Premium</t>
  </si>
  <si>
    <t>CDS Default Spread</t>
  </si>
  <si>
    <t>Albania</t>
  </si>
  <si>
    <t>Eastern Europe &amp; Russia</t>
  </si>
  <si>
    <t>B1</t>
  </si>
  <si>
    <t>4.00%</t>
  </si>
  <si>
    <t>11.80%</t>
  </si>
  <si>
    <t>6.00%</t>
  </si>
  <si>
    <t>NA</t>
  </si>
  <si>
    <t>Angola</t>
  </si>
  <si>
    <t>Africa</t>
  </si>
  <si>
    <t>Ba3</t>
  </si>
  <si>
    <t>3.25%</t>
  </si>
  <si>
    <t>10.68%</t>
  </si>
  <si>
    <t>4.88%</t>
  </si>
  <si>
    <t>Argentina</t>
  </si>
  <si>
    <t>Central and South America</t>
  </si>
  <si>
    <t>B3</t>
  </si>
  <si>
    <t>14.80%</t>
  </si>
  <si>
    <t>9.00%</t>
  </si>
  <si>
    <t>13.07%</t>
  </si>
  <si>
    <t>24.40%</t>
  </si>
  <si>
    <t>18.60%</t>
  </si>
  <si>
    <t>Armenia</t>
  </si>
  <si>
    <t>Ba2</t>
  </si>
  <si>
    <t>2.75%</t>
  </si>
  <si>
    <t>9.93%</t>
  </si>
  <si>
    <t>4.13%</t>
  </si>
  <si>
    <t>Australia</t>
  </si>
  <si>
    <t>Australia &amp; New Zealand</t>
  </si>
  <si>
    <t>Aaa</t>
  </si>
  <si>
    <t>0.00%</t>
  </si>
  <si>
    <t>5.80%</t>
  </si>
  <si>
    <t>0.86%</t>
  </si>
  <si>
    <t>6.09%</t>
  </si>
  <si>
    <t>0.29%</t>
  </si>
  <si>
    <t>Austria</t>
  </si>
  <si>
    <t>Western Europe</t>
  </si>
  <si>
    <t>0.79%</t>
  </si>
  <si>
    <t>5.98%</t>
  </si>
  <si>
    <t>0.18%</t>
  </si>
  <si>
    <t>Azerbaijan</t>
  </si>
  <si>
    <t>Baa3</t>
  </si>
  <si>
    <t>2.00%</t>
  </si>
  <si>
    <t>8.80%</t>
  </si>
  <si>
    <t>3.00%</t>
  </si>
  <si>
    <t>Bahamas</t>
  </si>
  <si>
    <t>Caribbean</t>
  </si>
  <si>
    <t>Baa1</t>
  </si>
  <si>
    <t>1.50%</t>
  </si>
  <si>
    <t>8.05%</t>
  </si>
  <si>
    <t>2.25%</t>
  </si>
  <si>
    <t>Bahrain</t>
  </si>
  <si>
    <t>Middle East</t>
  </si>
  <si>
    <t>2.52%</t>
  </si>
  <si>
    <t>8.58%</t>
  </si>
  <si>
    <t>2.78%</t>
  </si>
  <si>
    <t>Bangladesh</t>
  </si>
  <si>
    <t>Asia</t>
  </si>
  <si>
    <t>Barbados</t>
  </si>
  <si>
    <t>Belarus</t>
  </si>
  <si>
    <t>Belgium</t>
  </si>
  <si>
    <t>Aa3</t>
  </si>
  <si>
    <t>0.70%</t>
  </si>
  <si>
    <t>6.85%</t>
  </si>
  <si>
    <t>1.05%</t>
  </si>
  <si>
    <t>1.24%</t>
  </si>
  <si>
    <t>6.66%</t>
  </si>
  <si>
    <t>Belize</t>
  </si>
  <si>
    <t>Caa3</t>
  </si>
  <si>
    <t>10.00%</t>
  </si>
  <si>
    <t>20.80%</t>
  </si>
  <si>
    <t>15.00%</t>
  </si>
  <si>
    <t>Bermuda</t>
  </si>
  <si>
    <t>Aa2</t>
  </si>
  <si>
    <t>0.50%</t>
  </si>
  <si>
    <t>6.55%</t>
  </si>
  <si>
    <t>0.75%</t>
  </si>
  <si>
    <t>Bolivia</t>
  </si>
  <si>
    <t>Bosnia and Herzegovina</t>
  </si>
  <si>
    <t>Botswana</t>
  </si>
  <si>
    <t>A2</t>
  </si>
  <si>
    <t>1.00%</t>
  </si>
  <si>
    <t>7.30%</t>
  </si>
  <si>
    <t>Brazil</t>
  </si>
  <si>
    <t>Baa2</t>
  </si>
  <si>
    <t>1.75%</t>
  </si>
  <si>
    <t>8.43%</t>
  </si>
  <si>
    <t>2.63%</t>
  </si>
  <si>
    <t>1.44%</t>
  </si>
  <si>
    <t>6.96%</t>
  </si>
  <si>
    <t>1.16%</t>
  </si>
  <si>
    <t>Bulgaria</t>
  </si>
  <si>
    <t>1.41%</t>
  </si>
  <si>
    <t>6.91%</t>
  </si>
  <si>
    <t>1.11%</t>
  </si>
  <si>
    <t>Cambodia</t>
  </si>
  <si>
    <t>B2</t>
  </si>
  <si>
    <t>5.00%</t>
  </si>
  <si>
    <t>13.30%</t>
  </si>
  <si>
    <t>7.50%</t>
  </si>
  <si>
    <t>Canada</t>
  </si>
  <si>
    <t>North America</t>
  </si>
  <si>
    <t>Cayman Islands</t>
  </si>
  <si>
    <t>Chile</t>
  </si>
  <si>
    <t>0.99%</t>
  </si>
  <si>
    <t>6.28%</t>
  </si>
  <si>
    <t>0.48%</t>
  </si>
  <si>
    <t>China</t>
  </si>
  <si>
    <t>1.02%</t>
  </si>
  <si>
    <t>6.33%</t>
  </si>
  <si>
    <t>0.53%</t>
  </si>
  <si>
    <t>Colombia</t>
  </si>
  <si>
    <t>1.35%</t>
  </si>
  <si>
    <t>6.82%</t>
  </si>
  <si>
    <t>Costa Rica</t>
  </si>
  <si>
    <t>3.91%</t>
  </si>
  <si>
    <t>10.66%</t>
  </si>
  <si>
    <t>4.86%</t>
  </si>
  <si>
    <t>Croatia</t>
  </si>
  <si>
    <t>2.99%</t>
  </si>
  <si>
    <t>9.28%</t>
  </si>
  <si>
    <t>3.48%</t>
  </si>
  <si>
    <t>Cuba</t>
  </si>
  <si>
    <t>Caa1</t>
  </si>
  <si>
    <t>7.00%</t>
  </si>
  <si>
    <t>16.30%</t>
  </si>
  <si>
    <t>10.50%</t>
  </si>
  <si>
    <t>Cyprus</t>
  </si>
  <si>
    <t>14.62%</t>
  </si>
  <si>
    <t>8.82%</t>
  </si>
  <si>
    <t>Czech Republic</t>
  </si>
  <si>
    <t>A1</t>
  </si>
  <si>
    <t>0.85%</t>
  </si>
  <si>
    <t>7.08%</t>
  </si>
  <si>
    <t>1.28%</t>
  </si>
  <si>
    <t>0.89%</t>
  </si>
  <si>
    <t>6.13%</t>
  </si>
  <si>
    <t>0.33%</t>
  </si>
  <si>
    <t>Denmark</t>
  </si>
  <si>
    <t>0.69%</t>
  </si>
  <si>
    <t>5.83%</t>
  </si>
  <si>
    <t>0.03%</t>
  </si>
  <si>
    <t>Dominican Republic</t>
  </si>
  <si>
    <t>Ecuador</t>
  </si>
  <si>
    <t>Egypt</t>
  </si>
  <si>
    <t>5.76%</t>
  </si>
  <si>
    <t>13.44%</t>
  </si>
  <si>
    <t>7.64%</t>
  </si>
  <si>
    <t>El Salvador</t>
  </si>
  <si>
    <t>Estonia</t>
  </si>
  <si>
    <t>0.95%</t>
  </si>
  <si>
    <t>6.22%</t>
  </si>
  <si>
    <t>0.42%</t>
  </si>
  <si>
    <t>Fiji Islands</t>
  </si>
  <si>
    <t>Finland</t>
  </si>
  <si>
    <t>0.60%</t>
  </si>
  <si>
    <t>5.70%</t>
  </si>
  <si>
    <t>-0.11%</t>
  </si>
  <si>
    <t>France</t>
  </si>
  <si>
    <t>Aa1</t>
  </si>
  <si>
    <t>0.25%</t>
  </si>
  <si>
    <t>6.18%</t>
  </si>
  <si>
    <t>0.38%</t>
  </si>
  <si>
    <t>Georgia</t>
  </si>
  <si>
    <t>Germany</t>
  </si>
  <si>
    <t>0.82%</t>
  </si>
  <si>
    <t>6.03%</t>
  </si>
  <si>
    <t>0.23%</t>
  </si>
  <si>
    <t>Greece</t>
  </si>
  <si>
    <t>Guatemala</t>
  </si>
  <si>
    <t>Ba1</t>
  </si>
  <si>
    <t>2.40%</t>
  </si>
  <si>
    <t>9.40%</t>
  </si>
  <si>
    <t>3.60%</t>
  </si>
  <si>
    <t>Honduras</t>
  </si>
  <si>
    <t>Hong Kong</t>
  </si>
  <si>
    <t>1.03%</t>
  </si>
  <si>
    <t>6.34%</t>
  </si>
  <si>
    <t>0.54%</t>
  </si>
  <si>
    <t>Hungary</t>
  </si>
  <si>
    <t>3.16%</t>
  </si>
  <si>
    <t>9.54%</t>
  </si>
  <si>
    <t>3.74%</t>
  </si>
  <si>
    <t>Iceland</t>
  </si>
  <si>
    <t>2.16%</t>
  </si>
  <si>
    <t>8.04%</t>
  </si>
  <si>
    <t>2.24%</t>
  </si>
  <si>
    <t>India</t>
  </si>
  <si>
    <t>Indonesia</t>
  </si>
  <si>
    <t>1.81%</t>
  </si>
  <si>
    <t>7.51%</t>
  </si>
  <si>
    <t>1.71%</t>
  </si>
  <si>
    <t>Ireland</t>
  </si>
  <si>
    <t>2.54%</t>
  </si>
  <si>
    <t>8.61%</t>
  </si>
  <si>
    <t>2.81%</t>
  </si>
  <si>
    <t>Isle of Man</t>
  </si>
  <si>
    <t>Financial Center</t>
  </si>
  <si>
    <t>Israel</t>
  </si>
  <si>
    <t>1.61%</t>
  </si>
  <si>
    <t>7.21%</t>
  </si>
  <si>
    <t>3.03%</t>
  </si>
  <si>
    <t>9.34%</t>
  </si>
  <si>
    <t>3.54%</t>
  </si>
  <si>
    <t>Jamaica</t>
  </si>
  <si>
    <t>Japan</t>
  </si>
  <si>
    <t>1.32%</t>
  </si>
  <si>
    <t>6.78%</t>
  </si>
  <si>
    <t>0.98%</t>
  </si>
  <si>
    <t>Jordan</t>
  </si>
  <si>
    <t>Kazakhstan</t>
  </si>
  <si>
    <t>1.97%</t>
  </si>
  <si>
    <t>7.75%</t>
  </si>
  <si>
    <t>1.95%</t>
  </si>
  <si>
    <t>Kenya</t>
  </si>
  <si>
    <t>Korea</t>
  </si>
  <si>
    <t>1.13%</t>
  </si>
  <si>
    <t>6.49%</t>
  </si>
  <si>
    <t>Kuwait</t>
  </si>
  <si>
    <t>Latvia</t>
  </si>
  <si>
    <t>1.70%</t>
  </si>
  <si>
    <t>7.35%</t>
  </si>
  <si>
    <t>1.55%</t>
  </si>
  <si>
    <t>Lebanon</t>
  </si>
  <si>
    <t>4.72%</t>
  </si>
  <si>
    <t>11.88%</t>
  </si>
  <si>
    <t>6.08%</t>
  </si>
  <si>
    <t>Lithuania</t>
  </si>
  <si>
    <t>1.58%</t>
  </si>
  <si>
    <t>7.17%</t>
  </si>
  <si>
    <t>1.37%</t>
  </si>
  <si>
    <t>Luxembourg</t>
  </si>
  <si>
    <t>Macao</t>
  </si>
  <si>
    <t>Malaysia</t>
  </si>
  <si>
    <t>A3</t>
  </si>
  <si>
    <t>1.15%</t>
  </si>
  <si>
    <t>7.53%</t>
  </si>
  <si>
    <t>1.73%</t>
  </si>
  <si>
    <t>1.14%</t>
  </si>
  <si>
    <t>6.51%</t>
  </si>
  <si>
    <t>0.71%</t>
  </si>
  <si>
    <t>Malta</t>
  </si>
  <si>
    <t>Mauritius</t>
  </si>
  <si>
    <t>Mexico</t>
  </si>
  <si>
    <t>1.36%</t>
  </si>
  <si>
    <t>6.84%</t>
  </si>
  <si>
    <t>1.04%</t>
  </si>
  <si>
    <t>Moldova</t>
  </si>
  <si>
    <t>Mongolia</t>
  </si>
  <si>
    <t>Montenegro</t>
  </si>
  <si>
    <t>Morocco</t>
  </si>
  <si>
    <t>2.79%</t>
  </si>
  <si>
    <t>8.98%</t>
  </si>
  <si>
    <t>3.18%</t>
  </si>
  <si>
    <t>Namibia</t>
  </si>
  <si>
    <t>Netherlands</t>
  </si>
  <si>
    <t>0.83%</t>
  </si>
  <si>
    <t>6.04%</t>
  </si>
  <si>
    <t>0.24%</t>
  </si>
  <si>
    <t>New Zealand</t>
  </si>
  <si>
    <t>0.72%</t>
  </si>
  <si>
    <t>5.88%</t>
  </si>
  <si>
    <t>0.07%</t>
  </si>
  <si>
    <t>Nicaragua</t>
  </si>
  <si>
    <t>Nigeria</t>
  </si>
  <si>
    <t>Norway</t>
  </si>
  <si>
    <t>0.41%</t>
  </si>
  <si>
    <t>5.41%</t>
  </si>
  <si>
    <t>-0.39%</t>
  </si>
  <si>
    <t>Oman</t>
  </si>
  <si>
    <t>Pakistan</t>
  </si>
  <si>
    <t>7.90%</t>
  </si>
  <si>
    <t>16.65%</t>
  </si>
  <si>
    <t>10.85%</t>
  </si>
  <si>
    <t>Panama</t>
  </si>
  <si>
    <t>Papua New Guinea</t>
  </si>
  <si>
    <t>Paraguay</t>
  </si>
  <si>
    <t>Peru</t>
  </si>
  <si>
    <t>1.38%</t>
  </si>
  <si>
    <t>6.87%</t>
  </si>
  <si>
    <t>1.07%</t>
  </si>
  <si>
    <t>Philippines</t>
  </si>
  <si>
    <t>1.59%</t>
  </si>
  <si>
    <t>7.18%</t>
  </si>
  <si>
    <t>Poland</t>
  </si>
  <si>
    <t>1.30%</t>
  </si>
  <si>
    <t>6.75%</t>
  </si>
  <si>
    <t>Portugal</t>
  </si>
  <si>
    <t>4.93%</t>
  </si>
  <si>
    <t>12.19%</t>
  </si>
  <si>
    <t>6.39%</t>
  </si>
  <si>
    <t>Qatar</t>
  </si>
  <si>
    <t>6.72%</t>
  </si>
  <si>
    <t>0.92%</t>
  </si>
  <si>
    <t>Romania</t>
  </si>
  <si>
    <t>9.01%</t>
  </si>
  <si>
    <t>3.21%</t>
  </si>
  <si>
    <t>Russia</t>
  </si>
  <si>
    <t>1.82%</t>
  </si>
  <si>
    <t>Saudi Arabia</t>
  </si>
  <si>
    <t>0.78%</t>
  </si>
  <si>
    <t>5.97%</t>
  </si>
  <si>
    <t>0.17%</t>
  </si>
  <si>
    <t>Senegal</t>
  </si>
  <si>
    <t>Singapore</t>
  </si>
  <si>
    <t>Slovakia</t>
  </si>
  <si>
    <t>1.42%</t>
  </si>
  <si>
    <t>6.93%</t>
  </si>
  <si>
    <t>Slovenia</t>
  </si>
  <si>
    <t>2.59%</t>
  </si>
  <si>
    <t>8.68%</t>
  </si>
  <si>
    <t>2.88%</t>
  </si>
  <si>
    <t>South Africa</t>
  </si>
  <si>
    <t>2.03%</t>
  </si>
  <si>
    <t>7.84%</t>
  </si>
  <si>
    <t>2.04%</t>
  </si>
  <si>
    <t>Spain</t>
  </si>
  <si>
    <t>3.14%</t>
  </si>
  <si>
    <t>9.51%</t>
  </si>
  <si>
    <t>3.71%</t>
  </si>
  <si>
    <t>Sri Lanka</t>
  </si>
  <si>
    <t>St. Maarten</t>
  </si>
  <si>
    <t>St. Vincent &amp; the Grenadines</t>
  </si>
  <si>
    <t>Suriname</t>
  </si>
  <si>
    <t>Sweden</t>
  </si>
  <si>
    <t>Switzerland</t>
  </si>
  <si>
    <t>0.76%</t>
  </si>
  <si>
    <t>5.94%</t>
  </si>
  <si>
    <t>0.14%</t>
  </si>
  <si>
    <t>Taiwan</t>
  </si>
  <si>
    <t>Thailand</t>
  </si>
  <si>
    <t>1.43%</t>
  </si>
  <si>
    <t>6.94%</t>
  </si>
  <si>
    <t>Trinidad and Tobago</t>
  </si>
  <si>
    <t>Tunisia</t>
  </si>
  <si>
    <t>4.21%</t>
  </si>
  <si>
    <t>11.11%</t>
  </si>
  <si>
    <t>5.31%</t>
  </si>
  <si>
    <t>Turkey</t>
  </si>
  <si>
    <t>1.79%</t>
  </si>
  <si>
    <t>7.48%</t>
  </si>
  <si>
    <t>1.68%</t>
  </si>
  <si>
    <t>Ukraine</t>
  </si>
  <si>
    <t>14.56%</t>
  </si>
  <si>
    <t>8.76%</t>
  </si>
  <si>
    <t>United Arab Emirates</t>
  </si>
  <si>
    <t>United Kingdom</t>
  </si>
  <si>
    <t>0.74%</t>
  </si>
  <si>
    <t>5.91%</t>
  </si>
  <si>
    <t>0.11%</t>
  </si>
  <si>
    <t>United States of America</t>
  </si>
  <si>
    <t>0.67%</t>
  </si>
  <si>
    <t>Uruguay</t>
  </si>
  <si>
    <t>Venezuela</t>
  </si>
  <si>
    <t>Vietnam</t>
  </si>
  <si>
    <t>2.74%</t>
  </si>
  <si>
    <t>8.91%</t>
  </si>
  <si>
    <t>3.11%</t>
  </si>
  <si>
    <t>Zambia</t>
  </si>
  <si>
    <t>Aswath Damodaran</t>
  </si>
  <si>
    <t>       Shaded cells indicate IMF staff estimates</t>
  </si>
  <si>
    <t>Subject Descriptor</t>
  </si>
  <si>
    <t>Units</t>
  </si>
  <si>
    <t>Afghanistan</t>
  </si>
  <si>
    <t>Gross domestic product, constant prices</t>
  </si>
  <si>
    <t>Percent change</t>
  </si>
  <si>
    <t>Inflation, end of period consumer prices</t>
  </si>
  <si>
    <t>Algeria</t>
  </si>
  <si>
    <t>Antigua and Barbuda</t>
  </si>
  <si>
    <t>The Bahamas</t>
  </si>
  <si>
    <t>Benin</t>
  </si>
  <si>
    <t>Bhutan</t>
  </si>
  <si>
    <t>Brunei Darussalam</t>
  </si>
  <si>
    <t>Burkina Faso</t>
  </si>
  <si>
    <t>Burundi</t>
  </si>
  <si>
    <t>Cameroon</t>
  </si>
  <si>
    <t>Cape Verde</t>
  </si>
  <si>
    <t>Central African Republic</t>
  </si>
  <si>
    <t>Chad</t>
  </si>
  <si>
    <t>Comoros</t>
  </si>
  <si>
    <t>Democratic Republic of the Congo</t>
  </si>
  <si>
    <t>Republic of Congo</t>
  </si>
  <si>
    <t>Côte d'Ivoire</t>
  </si>
  <si>
    <t>Djibouti</t>
  </si>
  <si>
    <t>Dominica</t>
  </si>
  <si>
    <t>Equatorial Guinea</t>
  </si>
  <si>
    <t>Eritrea</t>
  </si>
  <si>
    <t>Ethiopia</t>
  </si>
  <si>
    <t>Fiji</t>
  </si>
  <si>
    <t>Gabon</t>
  </si>
  <si>
    <t>The Gambia</t>
  </si>
  <si>
    <t>Ghana</t>
  </si>
  <si>
    <t>Grenada</t>
  </si>
  <si>
    <t>Guinea</t>
  </si>
  <si>
    <t>Guinea-Bissau</t>
  </si>
  <si>
    <t>Guyana</t>
  </si>
  <si>
    <t>Haiti</t>
  </si>
  <si>
    <t>Hong Kong SAR</t>
  </si>
  <si>
    <t>Islamic Republic of Iran</t>
  </si>
  <si>
    <t>Iraq</t>
  </si>
  <si>
    <t>Kiribati</t>
  </si>
  <si>
    <t>Kosovo</t>
  </si>
  <si>
    <t>Kyrgyz Republic</t>
  </si>
  <si>
    <t>Lao P.D.R.</t>
  </si>
  <si>
    <t>Lesotho</t>
  </si>
  <si>
    <t>Liberia</t>
  </si>
  <si>
    <t>Libya</t>
  </si>
  <si>
    <t>FYR Macedonia</t>
  </si>
  <si>
    <t>Madagascar</t>
  </si>
  <si>
    <t>Malawi</t>
  </si>
  <si>
    <t>Maldives</t>
  </si>
  <si>
    <t>Mali</t>
  </si>
  <si>
    <t>Mauritania</t>
  </si>
  <si>
    <t>Mozambique</t>
  </si>
  <si>
    <t>Myanmar</t>
  </si>
  <si>
    <t>Nepal</t>
  </si>
  <si>
    <t>Niger</t>
  </si>
  <si>
    <t>Rwanda</t>
  </si>
  <si>
    <t>Samoa</t>
  </si>
  <si>
    <t>San Marino</t>
  </si>
  <si>
    <t>São Tomé and Príncipe</t>
  </si>
  <si>
    <t>Serbia</t>
  </si>
  <si>
    <t>Seychelles</t>
  </si>
  <si>
    <t>Sierra Leone</t>
  </si>
  <si>
    <t>Slovak Republic</t>
  </si>
  <si>
    <t>Solomon Islands</t>
  </si>
  <si>
    <t>South Sudan</t>
  </si>
  <si>
    <t>n/a</t>
  </si>
  <si>
    <t>St. Kitts and Nevis</t>
  </si>
  <si>
    <t>St. Lucia</t>
  </si>
  <si>
    <t>St. Vincent and the Grenadines</t>
  </si>
  <si>
    <t>Sudan</t>
  </si>
  <si>
    <t>Swaziland</t>
  </si>
  <si>
    <t>Syria</t>
  </si>
  <si>
    <t>Taiwan Province of China</t>
  </si>
  <si>
    <t>Tajikistan</t>
  </si>
  <si>
    <t>Tanzania</t>
  </si>
  <si>
    <t>Democratic Republic of Timor-Leste</t>
  </si>
  <si>
    <t>Togo</t>
  </si>
  <si>
    <t>Tonga</t>
  </si>
  <si>
    <t>Turkmenistan</t>
  </si>
  <si>
    <t>Tuvalu</t>
  </si>
  <si>
    <t>Uganda</t>
  </si>
  <si>
    <t>United States</t>
  </si>
  <si>
    <t>Uzbekistan</t>
  </si>
  <si>
    <t>Vanuatu</t>
  </si>
  <si>
    <t>Yemen</t>
  </si>
  <si>
    <t>Zimbabwe</t>
  </si>
  <si>
    <t>Market-entry planned for</t>
  </si>
  <si>
    <t>Ready technology, prototype bra and positive market validation</t>
  </si>
  <si>
    <t>1. Technology: First-mover advantage in this particular technology
2. Sale of own bra for medical purposes: Medical bra producers with different features
3. Sale of own bra to the general public: Large retailers offering larger bra sizes (e.g. Lane Bryant, Genie Bras, Walcoal Bras)</t>
  </si>
  <si>
    <t>2016. Explore licencing option, Consolidation of IP portfolio, Go-To-Market strategy, Technical pack development and Full line of commercial ready samples</t>
  </si>
  <si>
    <t>Assumptions</t>
  </si>
  <si>
    <t>US Women at risk of breast-reduction surgeries</t>
  </si>
  <si>
    <t>US Women going through breast-reduction surgeries</t>
  </si>
  <si>
    <t>Number of breast-reduction surgeries per year</t>
  </si>
  <si>
    <t>Sales channels</t>
  </si>
  <si>
    <t>Target market win per year</t>
  </si>
  <si>
    <t>Market size per year (potential number of bras)</t>
  </si>
  <si>
    <t>Rounded-up Post-Money Valuation (adjusted)</t>
  </si>
  <si>
    <t>INTIMATES</t>
  </si>
  <si>
    <t>INSTITUTIONAL</t>
  </si>
  <si>
    <t>SOURCE: Government statistics, industry reports, own assumptions</t>
  </si>
  <si>
    <t>1. INTIMATES: Selling of own Float-Tech bras or licencing to medical bra producers</t>
  </si>
  <si>
    <t>2. INSTITUTIONAL: Selling of bras (own Float-tech bra) as preventive measure for breast reduction surgery through insurance companies or for breast reduction pre-op support through surgeons</t>
  </si>
  <si>
    <t>VOLUME - Bras sold</t>
  </si>
  <si>
    <t>Pricing</t>
  </si>
  <si>
    <t>Producton costs</t>
  </si>
  <si>
    <t>Margin over production</t>
  </si>
  <si>
    <t>Inflation:</t>
  </si>
  <si>
    <t>Rent and Administrative Expenses</t>
  </si>
  <si>
    <t>Selling and Marketing Expenses</t>
  </si>
  <si>
    <t>Design and Merchandising Expenses</t>
  </si>
  <si>
    <t>Shipping Expenses</t>
  </si>
  <si>
    <t>COSTS</t>
  </si>
  <si>
    <t>TAX</t>
  </si>
  <si>
    <t>OPERATING INCOME</t>
  </si>
  <si>
    <t>NET INCOME</t>
  </si>
  <si>
    <t xml:space="preserve">CASH FLOW </t>
  </si>
  <si>
    <t>More exposed with weaker sales channels</t>
  </si>
  <si>
    <t>More volatile with own sales</t>
  </si>
  <si>
    <t>IP</t>
  </si>
  <si>
    <t>Wider sales channels allow more flexibility</t>
  </si>
  <si>
    <t>Licensing contracts</t>
  </si>
  <si>
    <t>direct sale with SX SUPPLY</t>
  </si>
  <si>
    <t>Compounding</t>
  </si>
  <si>
    <t>Maximum target market penetration 10 years</t>
  </si>
  <si>
    <t>Inflation</t>
  </si>
  <si>
    <t>Kewi outsources many functions</t>
  </si>
  <si>
    <t>Growth:</t>
  </si>
  <si>
    <t>Change</t>
  </si>
  <si>
    <t>% of sales</t>
  </si>
  <si>
    <t>DEPRECIATION</t>
  </si>
  <si>
    <t>Indicative effective tax rate</t>
  </si>
  <si>
    <t>Indicative value IP</t>
  </si>
  <si>
    <t>Depreciation years</t>
  </si>
  <si>
    <t>WORKING CAPITAL Production</t>
  </si>
  <si>
    <t>US Larger size women between 25-35 *2bras</t>
  </si>
  <si>
    <t>Average initial wage p.m.</t>
  </si>
  <si>
    <t>Option value:</t>
  </si>
  <si>
    <t>Accumulated CF</t>
  </si>
  <si>
    <t>New financing</t>
  </si>
  <si>
    <t>Seed Financing 18 months</t>
  </si>
  <si>
    <t>Share</t>
  </si>
  <si>
    <t xml:space="preserve">Valuation sensitive to: </t>
  </si>
  <si>
    <t>WORKING CAPITAL</t>
  </si>
  <si>
    <t>Pre-payment of next year's production costs</t>
  </si>
  <si>
    <t>PRODUCTION MARGIN</t>
  </si>
  <si>
    <t>Sales per employee</t>
  </si>
  <si>
    <t>PRICING</t>
  </si>
  <si>
    <t>MEDICAL BRA producer + INSURANCE &amp; hospital sale</t>
  </si>
  <si>
    <t>S&amp;S Activewear</t>
  </si>
  <si>
    <t>NPV</t>
  </si>
  <si>
    <t>Maximum target market penetration 20 years</t>
  </si>
  <si>
    <t>Tax Amortisation Benefit</t>
  </si>
  <si>
    <t>FAIR VALUE</t>
  </si>
  <si>
    <t>US</t>
  </si>
  <si>
    <t>Median current pre-money valuations $m</t>
  </si>
  <si>
    <t>Current market size per year (potential number of bras)</t>
  </si>
  <si>
    <t>2.MEDICAL BRA producer + INSURANCE &amp; hospital sale</t>
  </si>
  <si>
    <t>Long-term strategy risk</t>
  </si>
  <si>
    <t>Depreciation in INTIMATES</t>
  </si>
  <si>
    <t>Median pre-revenue valuations in the US Q3 2015 (Halo report)</t>
  </si>
  <si>
    <t>TAB factor</t>
  </si>
  <si>
    <t>Royalty</t>
  </si>
  <si>
    <t>years left</t>
  </si>
  <si>
    <t>Medical market bra growth CAGR</t>
  </si>
  <si>
    <t>Valuation Options</t>
  </si>
  <si>
    <t>INTIMATES +INTITUTIONAL</t>
  </si>
  <si>
    <t>Fair value</t>
  </si>
  <si>
    <t>Working capital - production cost pre-payment</t>
  </si>
  <si>
    <t>Target market growth</t>
  </si>
  <si>
    <t>Funding</t>
  </si>
  <si>
    <t>Shares</t>
  </si>
  <si>
    <t>Adjusted pre-money</t>
  </si>
  <si>
    <t>Target market penetration 10-20 years</t>
  </si>
  <si>
    <t>Post-money valuation $m</t>
  </si>
  <si>
    <t>$ of Fixed costs (rent, admin) per employee</t>
  </si>
  <si>
    <t>Discount rate</t>
  </si>
  <si>
    <t>10% of US target market</t>
  </si>
  <si>
    <t>Global</t>
  </si>
  <si>
    <t>Lingerie market size US$mil</t>
  </si>
  <si>
    <t>Annual growth</t>
  </si>
  <si>
    <t>Bra market 2020</t>
  </si>
  <si>
    <t>Cost underwire</t>
  </si>
  <si>
    <t>Extra bra unit sold 2015-2020 in mil</t>
  </si>
  <si>
    <t>Underwire bras % of bra market</t>
  </si>
  <si>
    <t>Extra units sold 2015-20</t>
  </si>
  <si>
    <t>Average bra price</t>
  </si>
  <si>
    <t xml:space="preserve">L Brands </t>
  </si>
  <si>
    <t>Victoria Secret</t>
  </si>
  <si>
    <t>Number of bras sold p.a.</t>
  </si>
  <si>
    <t>Underwire bras sold p.a.</t>
  </si>
  <si>
    <t>US bra market growth CAGR 10 years</t>
  </si>
  <si>
    <t>Bra market growth CAGR 20 years</t>
  </si>
  <si>
    <t>Global market (number of underwire bras sold annually) to women of larger size (35%+) (any age, already in the target market)</t>
  </si>
  <si>
    <t>Market share</t>
  </si>
  <si>
    <t>LICENSE RATE typically 5%, market penetration and underwire pricing</t>
  </si>
  <si>
    <t>Transaction costs</t>
  </si>
  <si>
    <t>Bra price</t>
  </si>
  <si>
    <t>% of average global bra price</t>
  </si>
  <si>
    <t>Bra Pricing</t>
  </si>
  <si>
    <t>Earnings of technology holder per bra</t>
  </si>
  <si>
    <t>Hanes Supply</t>
  </si>
  <si>
    <t>Hanes</t>
  </si>
  <si>
    <t>INTIMATES - direct sale</t>
  </si>
  <si>
    <t>Patented technology (1 approved, 2 pending)</t>
  </si>
  <si>
    <t>Muyiwa Olumide
Founder of Kewi and creator of patented technology</t>
  </si>
  <si>
    <t>3. LICENCING: Licence Kewi brand &amp; technology to global intimates brand</t>
  </si>
  <si>
    <t>1.INTIMATES direct sale with Hanes SUPPLY</t>
  </si>
  <si>
    <t>1. Selling of own Float-Tech bras or licencing to medical bra producers
2. Selling of bras (own Float-tech bra) as preventive measure for breast reduction surgery through insurance companies or for breast reduction pre-op support through surgeons
3. Licence of Kewi brand and technology to global intimates producer and high fashion brands</t>
  </si>
  <si>
    <t>KPMG Royalty rate</t>
  </si>
  <si>
    <t>LICENSE</t>
  </si>
  <si>
    <t>INSTITUTIONAL - MEDICAL BRA producer + INSURANCE &amp; hospital sale</t>
  </si>
  <si>
    <t>2016/17</t>
  </si>
  <si>
    <t>2018. Market Roll-Out</t>
  </si>
  <si>
    <t>Including INSTITUTIONAL</t>
  </si>
  <si>
    <t>Kiwii Lingerie LLC - Operating name Kewi</t>
  </si>
  <si>
    <t>Consolidation of IP portfolio, Go-To-Market strategy, Technical pack development, Full line of commercial ready samples, Running costs, Wages, R&amp;D, Marketing</t>
  </si>
  <si>
    <t>Delaware LLC (Owner Of IP Portfolio)</t>
  </si>
  <si>
    <r>
      <rPr>
        <b/>
        <sz val="8"/>
        <rFont val="Roboto"/>
      </rPr>
      <t>US Larger size women</t>
    </r>
    <r>
      <rPr>
        <sz val="8"/>
        <rFont val="Roboto"/>
      </rPr>
      <t xml:space="preserve"> (prevalently)</t>
    </r>
  </si>
  <si>
    <t>US women of larger size (1/2+ of US women)  (about 20%) buying on average 2 bras per year</t>
  </si>
  <si>
    <t>Potential strategic exit with sale of IP Portfolio</t>
  </si>
  <si>
    <t>Global Larger size women</t>
  </si>
  <si>
    <t>End customer: larger size women C-Cup to P-Cup</t>
  </si>
  <si>
    <t>License IP</t>
  </si>
  <si>
    <t>IP License</t>
  </si>
  <si>
    <t>Larger size women</t>
  </si>
  <si>
    <t>IP Portfolio Licensing &amp; Valuation</t>
  </si>
  <si>
    <t>Holding and remarketing of a patented lift device through licencing to High Fashion Brands, use in own Float-Tech bra prototype to be sold to the general public and for medical reasons through insurance companies, and brest reduction surgeons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</si>
</sst>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00_-;\-* #,##0.00_-;_-* &quot;-&quot;??_-;_-@_-"/>
    <numFmt numFmtId="165" formatCode="_-&quot;€&quot;\ * #,##0.00_-;\-&quot;€&quot;\ * #,##0.00_-;_-&quot;€&quot;\ * &quot;-&quot;??_-;_-@_-"/>
    <numFmt numFmtId="166" formatCode="#,##0.0"/>
    <numFmt numFmtId="167" formatCode="_-[$$-409]* #,##0_ ;_-[$$-409]* \-#,##0\ ;_-[$$-409]* &quot;-&quot;??_ ;_-@_ "/>
    <numFmt numFmtId="168" formatCode="_-[$$-409]* #,##0.00_ ;_-[$$-409]* \-#,##0.00\ ;_-[$$-409]* &quot;-&quot;??_ ;_-@_ "/>
    <numFmt numFmtId="169" formatCode="0.0%"/>
    <numFmt numFmtId="170" formatCode="_(* #,##0_);_(* \(#,##0\);_(* &quot;-&quot;??_);_(@_)"/>
    <numFmt numFmtId="171" formatCode="_-&quot;€&quot;\ * #,##0_-;\-&quot;€&quot;\ * #,##0_-;_-&quot;€&quot;\ * &quot;-&quot;??_-;_-@_-"/>
    <numFmt numFmtId="172" formatCode="0.0"/>
    <numFmt numFmtId="173" formatCode="_-* #,##0_-;\-* #,##0_-;_-* &quot;-&quot;??_-;_-@_-"/>
    <numFmt numFmtId="174" formatCode="[$-409]mmmm\ d\,\ yyyy;@"/>
    <numFmt numFmtId="175" formatCode="0.0000%"/>
  </numFmts>
  <fonts count="51">
    <font>
      <sz val="11"/>
      <color theme="1"/>
      <name val="Calibri"/>
      <family val="2"/>
      <scheme val="minor"/>
    </font>
    <font>
      <sz val="11"/>
      <color theme="1"/>
      <name val="Calibri"/>
      <family val="2"/>
      <scheme val="minor"/>
    </font>
    <font>
      <sz val="11"/>
      <name val="Times New Roman"/>
      <family val="1"/>
    </font>
    <font>
      <u/>
      <sz val="8"/>
      <name val="Arial"/>
      <family val="2"/>
    </font>
    <font>
      <sz val="10"/>
      <name val="Arial"/>
      <family val="2"/>
    </font>
    <font>
      <b/>
      <sz val="10"/>
      <name val="Roboto"/>
    </font>
    <font>
      <sz val="10"/>
      <name val="Roboto"/>
    </font>
    <font>
      <sz val="10"/>
      <color theme="1"/>
      <name val="Roboto"/>
    </font>
    <font>
      <b/>
      <sz val="10"/>
      <color theme="0"/>
      <name val="Roboto"/>
    </font>
    <font>
      <b/>
      <sz val="10"/>
      <color theme="1"/>
      <name val="Roboto"/>
    </font>
    <font>
      <b/>
      <sz val="9"/>
      <name val="Roboto"/>
    </font>
    <font>
      <sz val="9"/>
      <color theme="1"/>
      <name val="Roboto"/>
    </font>
    <font>
      <sz val="9"/>
      <name val="Roboto"/>
    </font>
    <font>
      <b/>
      <sz val="9"/>
      <color theme="1"/>
      <name val="Roboto"/>
    </font>
    <font>
      <b/>
      <sz val="10"/>
      <color rgb="FF1D3243"/>
      <name val="Roboto"/>
    </font>
    <font>
      <b/>
      <sz val="10"/>
      <color rgb="FFFFFFFF"/>
      <name val="Roboto"/>
    </font>
    <font>
      <sz val="10"/>
      <color rgb="FF000000"/>
      <name val="Roboto"/>
    </font>
    <font>
      <b/>
      <sz val="10"/>
      <color rgb="FF000000"/>
      <name val="Roboto"/>
    </font>
    <font>
      <b/>
      <sz val="9"/>
      <color rgb="FFFFFFFF"/>
      <name val="Roboto"/>
    </font>
    <font>
      <sz val="9"/>
      <color rgb="FFFFFFFF"/>
      <name val="Roboto"/>
    </font>
    <font>
      <b/>
      <sz val="9"/>
      <color theme="0"/>
      <name val="Roboto"/>
    </font>
    <font>
      <b/>
      <sz val="9"/>
      <color rgb="FF1D3243"/>
      <name val="Roboto"/>
    </font>
    <font>
      <b/>
      <sz val="9"/>
      <color rgb="FF000000"/>
      <name val="Roboto"/>
    </font>
    <font>
      <sz val="9"/>
      <color rgb="FF000000"/>
      <name val="Roboto"/>
    </font>
    <font>
      <sz val="9"/>
      <color theme="0"/>
      <name val="Roboto"/>
    </font>
    <font>
      <b/>
      <i/>
      <sz val="9"/>
      <color rgb="FF1D3243"/>
      <name val="Roboto"/>
    </font>
    <font>
      <b/>
      <i/>
      <sz val="9"/>
      <color theme="5"/>
      <name val="Roboto"/>
    </font>
    <font>
      <sz val="9"/>
      <color rgb="FF1D3243"/>
      <name val="Roboto"/>
    </font>
    <font>
      <b/>
      <sz val="24"/>
      <name val="Times New Roman"/>
      <family val="1"/>
    </font>
    <font>
      <i/>
      <sz val="11"/>
      <name val="Times New Roman"/>
      <family val="1"/>
    </font>
    <font>
      <b/>
      <i/>
      <sz val="12"/>
      <name val="Times"/>
      <family val="1"/>
    </font>
    <font>
      <sz val="12"/>
      <name val="Times"/>
      <family val="1"/>
    </font>
    <font>
      <sz val="9"/>
      <name val="Geneva"/>
    </font>
    <font>
      <b/>
      <sz val="24"/>
      <color rgb="FF505050"/>
      <name val="Verdana"/>
      <family val="2"/>
    </font>
    <font>
      <sz val="9.9"/>
      <color rgb="FF505050"/>
      <name val="Arial"/>
      <family val="2"/>
    </font>
    <font>
      <b/>
      <sz val="9.35"/>
      <color rgb="FF505050"/>
      <name val="Arial"/>
      <family val="2"/>
    </font>
    <font>
      <b/>
      <sz val="9"/>
      <color theme="5"/>
      <name val="Roboto"/>
    </font>
    <font>
      <b/>
      <sz val="9"/>
      <color theme="3" tint="-0.499984740745262"/>
      <name val="Roboto"/>
    </font>
    <font>
      <sz val="9"/>
      <color theme="3" tint="-0.499984740745262"/>
      <name val="Roboto"/>
    </font>
    <font>
      <sz val="9"/>
      <name val="Times New Roman"/>
      <family val="1"/>
    </font>
    <font>
      <b/>
      <sz val="9"/>
      <color rgb="FFFFFAEB"/>
      <name val="Roboto"/>
    </font>
    <font>
      <b/>
      <u/>
      <sz val="9"/>
      <color theme="0"/>
      <name val="Roboto"/>
    </font>
    <font>
      <b/>
      <u/>
      <sz val="9"/>
      <color rgb="FF1D3243"/>
      <name val="Roboto"/>
    </font>
    <font>
      <sz val="9"/>
      <color theme="4" tint="-0.499984740745262"/>
      <name val="Roboto"/>
    </font>
    <font>
      <sz val="9"/>
      <color theme="1"/>
      <name val="Calibri"/>
      <family val="2"/>
      <scheme val="minor"/>
    </font>
    <font>
      <b/>
      <sz val="10"/>
      <color theme="5"/>
      <name val="Roboto"/>
    </font>
    <font>
      <b/>
      <sz val="8"/>
      <color rgb="FF000000"/>
      <name val="Roboto"/>
    </font>
    <font>
      <sz val="8"/>
      <name val="Roboto"/>
    </font>
    <font>
      <b/>
      <sz val="8"/>
      <name val="Roboto"/>
    </font>
    <font>
      <b/>
      <sz val="9"/>
      <color theme="5" tint="-0.249977111117893"/>
      <name val="Roboto"/>
    </font>
    <font>
      <sz val="12"/>
      <name val="Roboto"/>
    </font>
  </fonts>
  <fills count="13">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E2C585"/>
        <bgColor indexed="64"/>
      </patternFill>
    </fill>
    <fill>
      <patternFill patternType="solid">
        <fgColor rgb="FF1D3243"/>
        <bgColor indexed="64"/>
      </patternFill>
    </fill>
    <fill>
      <patternFill patternType="solid">
        <fgColor rgb="FFFFFFFF"/>
        <bgColor indexed="64"/>
      </patternFill>
    </fill>
    <fill>
      <patternFill patternType="solid">
        <fgColor rgb="FFCCDDDD"/>
        <bgColor indexed="64"/>
      </patternFill>
    </fill>
    <fill>
      <patternFill patternType="solid">
        <fgColor rgb="FFDDE7D6"/>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59999389629810485"/>
        <bgColor indexed="64"/>
      </patternFill>
    </fill>
  </fills>
  <borders count="4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theme="0" tint="-0.499984740745262"/>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style="medium">
        <color theme="0" tint="-0.499984740745262"/>
      </right>
      <top/>
      <bottom/>
      <diagonal/>
    </border>
    <border>
      <left/>
      <right style="medium">
        <color theme="0" tint="-0.499984740745262"/>
      </right>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rgb="FF968C8C"/>
      </right>
      <top style="medium">
        <color rgb="FF968C8C"/>
      </top>
      <bottom style="medium">
        <color rgb="FF968C8C"/>
      </bottom>
      <diagonal/>
    </border>
    <border>
      <left style="medium">
        <color theme="0" tint="-0.499984740745262"/>
      </left>
      <right style="medium">
        <color rgb="FF968C8C"/>
      </right>
      <top style="medium">
        <color rgb="FF968C8C"/>
      </top>
      <bottom style="medium">
        <color theme="0" tint="-0.499984740745262"/>
      </bottom>
      <diagonal/>
    </border>
    <border>
      <left style="medium">
        <color theme="0" tint="-0.499984740745262"/>
      </left>
      <right style="medium">
        <color rgb="FF968C8C"/>
      </right>
      <top/>
      <bottom style="medium">
        <color rgb="FF968C8C"/>
      </bottom>
      <diagonal/>
    </border>
    <border>
      <left style="medium">
        <color theme="0" tint="-0.499984740745262"/>
      </left>
      <right style="medium">
        <color rgb="FF968C8C"/>
      </right>
      <top style="medium">
        <color theme="0" tint="-0.499984740745262"/>
      </top>
      <bottom style="medium">
        <color theme="0" tint="-0.499984740745262"/>
      </bottom>
      <diagonal/>
    </border>
    <border>
      <left/>
      <right/>
      <top style="double">
        <color rgb="FF000000"/>
      </top>
      <bottom style="medium">
        <color rgb="FF000000"/>
      </bottom>
      <diagonal/>
    </border>
    <border>
      <left/>
      <right style="medium">
        <color rgb="FF000000"/>
      </right>
      <top style="double">
        <color rgb="FF000000"/>
      </top>
      <bottom style="medium">
        <color rgb="FF000000"/>
      </bottom>
      <diagonal/>
    </border>
    <border>
      <left/>
      <right/>
      <top/>
      <bottom style="double">
        <color theme="0" tint="-0.499984740745262"/>
      </bottom>
      <diagonal/>
    </border>
    <border>
      <left style="medium">
        <color rgb="FF000000"/>
      </left>
      <right style="medium">
        <color rgb="FF000000"/>
      </right>
      <top style="medium">
        <color rgb="FF000000"/>
      </top>
      <bottom style="medium">
        <color rgb="FF000000"/>
      </bottom>
      <diagonal/>
    </border>
    <border>
      <left/>
      <right/>
      <top/>
      <bottom style="double">
        <color auto="1"/>
      </bottom>
      <diagonal/>
    </border>
    <border>
      <left/>
      <right style="thin">
        <color auto="1"/>
      </right>
      <top/>
      <bottom style="thin">
        <color auto="1"/>
      </bottom>
      <diagonal/>
    </border>
    <border>
      <left style="medium">
        <color rgb="FF000000"/>
      </left>
      <right/>
      <top style="medium">
        <color rgb="FF000000"/>
      </top>
      <bottom style="medium">
        <color rgb="FFDDDDDD"/>
      </bottom>
      <diagonal/>
    </border>
    <border>
      <left/>
      <right/>
      <top style="medium">
        <color rgb="FF000000"/>
      </top>
      <bottom style="medium">
        <color rgb="FFDDDDDD"/>
      </bottom>
      <diagonal/>
    </border>
    <border>
      <left/>
      <right style="medium">
        <color rgb="FF000000"/>
      </right>
      <top style="medium">
        <color rgb="FF000000"/>
      </top>
      <bottom style="medium">
        <color rgb="FFDDDDDD"/>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diagonal/>
    </border>
    <border>
      <left style="medium">
        <color rgb="FF000000"/>
      </left>
      <right style="medium">
        <color rgb="FFDDDDDD"/>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style="medium">
        <color rgb="FF000000"/>
      </left>
      <right style="medium">
        <color rgb="FFDDDDDD"/>
      </right>
      <top style="medium">
        <color rgb="FFDDDDDD"/>
      </top>
      <bottom style="medium">
        <color rgb="FF000000"/>
      </bottom>
      <diagonal/>
    </border>
    <border>
      <left style="medium">
        <color rgb="FFDDDDDD"/>
      </left>
      <right style="medium">
        <color rgb="FFDDDDDD"/>
      </right>
      <top style="medium">
        <color rgb="FFDDDDDD"/>
      </top>
      <bottom style="medium">
        <color rgb="FF000000"/>
      </bottom>
      <diagonal/>
    </border>
    <border>
      <left/>
      <right style="medium">
        <color rgb="FF000000"/>
      </right>
      <top/>
      <bottom style="medium">
        <color rgb="FF000000"/>
      </bottom>
      <diagonal/>
    </border>
    <border>
      <left/>
      <right/>
      <top style="thin">
        <color auto="1"/>
      </top>
      <bottom/>
      <diagonal/>
    </border>
    <border>
      <left style="medium">
        <color auto="1"/>
      </left>
      <right style="medium">
        <color auto="1"/>
      </right>
      <top style="medium">
        <color auto="1"/>
      </top>
      <bottom style="medium">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0">
    <xf numFmtId="0" fontId="0"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4" fontId="3" fillId="0" borderId="0" applyFill="0" applyBorder="0" applyAlignment="0" applyProtection="0">
      <alignment horizontal="center"/>
    </xf>
    <xf numFmtId="9" fontId="4" fillId="0" borderId="0" applyFont="0" applyFill="0" applyBorder="0" applyAlignment="0" applyProtection="0"/>
    <xf numFmtId="0" fontId="2" fillId="0" borderId="0"/>
    <xf numFmtId="0" fontId="4" fillId="0" borderId="0"/>
    <xf numFmtId="0" fontId="39" fillId="0" borderId="0"/>
    <xf numFmtId="164" fontId="4" fillId="0" borderId="0" applyFont="0" applyFill="0" applyBorder="0" applyAlignment="0" applyProtection="0"/>
  </cellStyleXfs>
  <cellXfs count="319">
    <xf numFmtId="0" fontId="0" fillId="0" borderId="0" xfId="0"/>
    <xf numFmtId="0" fontId="7" fillId="2" borderId="0" xfId="0" applyFont="1" applyFill="1" applyAlignment="1">
      <alignment vertical="center"/>
    </xf>
    <xf numFmtId="0" fontId="6" fillId="2" borderId="0" xfId="0" applyFont="1" applyFill="1" applyAlignment="1">
      <alignment vertical="center"/>
    </xf>
    <xf numFmtId="0" fontId="11" fillId="0" borderId="0" xfId="0" applyFont="1" applyAlignment="1">
      <alignment vertical="center"/>
    </xf>
    <xf numFmtId="0" fontId="12" fillId="7" borderId="20" xfId="0" applyFont="1" applyFill="1" applyBorder="1" applyAlignment="1">
      <alignment horizontal="left" vertical="center" wrapText="1" indent="1"/>
    </xf>
    <xf numFmtId="169" fontId="13" fillId="0" borderId="0" xfId="3" applyNumberFormat="1" applyFont="1" applyAlignment="1">
      <alignment horizontal="center" vertical="center"/>
    </xf>
    <xf numFmtId="9" fontId="21" fillId="2" borderId="16" xfId="3" applyFont="1" applyFill="1" applyBorder="1" applyAlignment="1">
      <alignment horizontal="center" vertical="center"/>
    </xf>
    <xf numFmtId="169" fontId="21" fillId="2" borderId="9" xfId="3" applyNumberFormat="1" applyFont="1" applyFill="1" applyBorder="1" applyAlignment="1">
      <alignment horizontal="center" vertical="center"/>
    </xf>
    <xf numFmtId="169" fontId="21" fillId="2" borderId="10" xfId="3" applyNumberFormat="1" applyFont="1" applyFill="1" applyBorder="1" applyAlignment="1">
      <alignment horizontal="center" vertical="center"/>
    </xf>
    <xf numFmtId="0" fontId="11" fillId="0" borderId="0" xfId="0" applyFont="1" applyAlignment="1">
      <alignment horizontal="left" vertical="center" indent="1"/>
    </xf>
    <xf numFmtId="9" fontId="13" fillId="0" borderId="0" xfId="3" applyFont="1" applyAlignment="1">
      <alignment horizontal="left" vertical="center" indent="1"/>
    </xf>
    <xf numFmtId="0" fontId="18" fillId="6" borderId="19" xfId="0" applyFont="1" applyFill="1" applyBorder="1" applyAlignment="1">
      <alignment horizontal="left" vertical="center" wrapText="1" indent="1"/>
    </xf>
    <xf numFmtId="9" fontId="21" fillId="2" borderId="9" xfId="3" applyFont="1" applyFill="1" applyBorder="1" applyAlignment="1">
      <alignment horizontal="left" vertical="center" indent="1"/>
    </xf>
    <xf numFmtId="0" fontId="18" fillId="6" borderId="17" xfId="0" applyFont="1" applyFill="1" applyBorder="1" applyAlignment="1">
      <alignment horizontal="left" vertical="center" wrapText="1" indent="1"/>
    </xf>
    <xf numFmtId="0" fontId="19" fillId="6" borderId="17" xfId="0" applyFont="1" applyFill="1" applyBorder="1" applyAlignment="1">
      <alignment horizontal="left" vertical="center" wrapText="1" indent="1"/>
    </xf>
    <xf numFmtId="0" fontId="19" fillId="6" borderId="18" xfId="0" applyFont="1" applyFill="1" applyBorder="1" applyAlignment="1">
      <alignment horizontal="left" vertical="center" wrapText="1" indent="1"/>
    </xf>
    <xf numFmtId="9" fontId="21" fillId="2" borderId="10" xfId="3" applyFont="1" applyFill="1" applyBorder="1" applyAlignment="1">
      <alignment horizontal="left" vertical="center" indent="1"/>
    </xf>
    <xf numFmtId="0" fontId="11" fillId="0" borderId="0" xfId="0" applyFont="1" applyAlignment="1">
      <alignment vertical="center" wrapText="1"/>
    </xf>
    <xf numFmtId="2" fontId="20" fillId="6" borderId="0" xfId="0" applyNumberFormat="1" applyFont="1" applyFill="1" applyAlignment="1">
      <alignment vertical="center"/>
    </xf>
    <xf numFmtId="0" fontId="24" fillId="6"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horizontal="right" vertical="center"/>
    </xf>
    <xf numFmtId="171" fontId="6" fillId="2" borderId="0" xfId="2" applyNumberFormat="1" applyFont="1" applyFill="1" applyAlignment="1">
      <alignment vertical="center"/>
    </xf>
    <xf numFmtId="165" fontId="6" fillId="2" borderId="0" xfId="2" applyFont="1" applyFill="1" applyAlignment="1">
      <alignment vertical="center"/>
    </xf>
    <xf numFmtId="9" fontId="6" fillId="2" borderId="0" xfId="3" applyFont="1" applyFill="1" applyAlignment="1">
      <alignment horizontal="center" vertical="center"/>
    </xf>
    <xf numFmtId="4" fontId="6" fillId="2" borderId="0" xfId="4" applyFont="1" applyFill="1" applyAlignment="1">
      <alignment vertical="center"/>
    </xf>
    <xf numFmtId="166" fontId="6" fillId="2" borderId="0" xfId="4" applyNumberFormat="1" applyFont="1" applyFill="1" applyAlignment="1">
      <alignment vertical="center"/>
    </xf>
    <xf numFmtId="0" fontId="11" fillId="2" borderId="0" xfId="0" applyFont="1" applyFill="1" applyAlignment="1">
      <alignment vertical="center"/>
    </xf>
    <xf numFmtId="0" fontId="11" fillId="2" borderId="0" xfId="0" applyFont="1" applyFill="1" applyAlignment="1">
      <alignment vertical="center" wrapText="1"/>
    </xf>
    <xf numFmtId="0" fontId="13" fillId="2" borderId="0" xfId="0" applyFont="1" applyFill="1" applyAlignment="1">
      <alignment horizontal="right" vertical="center"/>
    </xf>
    <xf numFmtId="2" fontId="11" fillId="2" borderId="0" xfId="0" applyNumberFormat="1" applyFont="1" applyFill="1" applyAlignment="1">
      <alignment vertical="center"/>
    </xf>
    <xf numFmtId="2" fontId="11" fillId="2" borderId="23" xfId="0" applyNumberFormat="1" applyFont="1" applyFill="1" applyBorder="1" applyAlignment="1">
      <alignment vertical="center"/>
    </xf>
    <xf numFmtId="0" fontId="21" fillId="2" borderId="0" xfId="0" applyFont="1" applyFill="1" applyAlignment="1">
      <alignment horizontal="right" vertical="center"/>
    </xf>
    <xf numFmtId="0" fontId="22" fillId="5" borderId="0" xfId="0" applyFont="1" applyFill="1" applyBorder="1" applyAlignment="1">
      <alignment horizontal="left" vertical="center" wrapText="1" indent="1" readingOrder="1"/>
    </xf>
    <xf numFmtId="0" fontId="22" fillId="5" borderId="0" xfId="0" quotePrefix="1" applyFont="1" applyFill="1" applyBorder="1" applyAlignment="1">
      <alignment horizontal="center" vertical="center" wrapText="1" readingOrder="1"/>
    </xf>
    <xf numFmtId="0" fontId="23" fillId="7" borderId="0" xfId="0" applyFont="1" applyFill="1" applyBorder="1" applyAlignment="1">
      <alignment horizontal="left" vertical="center" wrapText="1" indent="1" readingOrder="1"/>
    </xf>
    <xf numFmtId="0" fontId="18" fillId="6" borderId="0" xfId="0" applyFont="1" applyFill="1" applyBorder="1" applyAlignment="1">
      <alignment horizontal="center" vertical="center" wrapText="1"/>
    </xf>
    <xf numFmtId="164" fontId="18" fillId="6" borderId="0" xfId="0" applyNumberFormat="1" applyFont="1" applyFill="1" applyBorder="1" applyAlignment="1">
      <alignment horizontal="center" vertical="center" wrapText="1"/>
    </xf>
    <xf numFmtId="0" fontId="5" fillId="2" borderId="0" xfId="0" applyFont="1" applyFill="1" applyAlignment="1" applyProtection="1">
      <alignment horizontal="left" vertical="center" indent="1"/>
      <protection locked="0"/>
    </xf>
    <xf numFmtId="0" fontId="6" fillId="2" borderId="0" xfId="0" applyFont="1" applyFill="1" applyAlignment="1" applyProtection="1">
      <alignment vertical="center"/>
      <protection locked="0"/>
    </xf>
    <xf numFmtId="0" fontId="6" fillId="2" borderId="0" xfId="0" applyFont="1" applyFill="1" applyAlignment="1" applyProtection="1">
      <alignment horizontal="left" vertical="center" indent="1"/>
      <protection locked="0"/>
    </xf>
    <xf numFmtId="0" fontId="6" fillId="2" borderId="0" xfId="0" applyFont="1" applyFill="1" applyAlignment="1" applyProtection="1">
      <alignment horizontal="left" vertical="center" wrapText="1" indent="1"/>
      <protection locked="0"/>
    </xf>
    <xf numFmtId="0" fontId="6" fillId="2" borderId="0" xfId="0" applyFont="1" applyFill="1" applyAlignment="1" applyProtection="1">
      <alignment vertical="center" wrapText="1"/>
      <protection locked="0"/>
    </xf>
    <xf numFmtId="0" fontId="23" fillId="7" borderId="0" xfId="0" applyFont="1" applyFill="1" applyBorder="1" applyAlignment="1">
      <alignment horizontal="left" vertical="center"/>
    </xf>
    <xf numFmtId="0" fontId="23" fillId="7" borderId="0" xfId="0" applyFont="1" applyFill="1" applyBorder="1" applyAlignment="1">
      <alignment horizontal="center" vertical="center"/>
    </xf>
    <xf numFmtId="169" fontId="20" fillId="6" borderId="8" xfId="3" applyNumberFormat="1" applyFont="1" applyFill="1" applyBorder="1" applyAlignment="1">
      <alignment horizontal="center" vertical="center"/>
    </xf>
    <xf numFmtId="0" fontId="11" fillId="2" borderId="0" xfId="0" applyFont="1" applyFill="1" applyAlignment="1">
      <alignment horizontal="left" vertical="center" indent="1"/>
    </xf>
    <xf numFmtId="9" fontId="13" fillId="2" borderId="0" xfId="3" applyFont="1" applyFill="1" applyAlignment="1">
      <alignment horizontal="left" vertical="center" indent="1"/>
    </xf>
    <xf numFmtId="169" fontId="21" fillId="2" borderId="8" xfId="3" applyNumberFormat="1" applyFont="1" applyFill="1" applyBorder="1" applyAlignment="1">
      <alignment horizontal="center" vertical="center"/>
    </xf>
    <xf numFmtId="169" fontId="26" fillId="0" borderId="0" xfId="3" applyNumberFormat="1" applyFont="1" applyAlignment="1">
      <alignment horizontal="center" vertical="center"/>
    </xf>
    <xf numFmtId="0" fontId="21" fillId="2" borderId="0" xfId="0" applyFont="1" applyFill="1" applyAlignment="1">
      <alignment horizontal="left" vertical="center" wrapText="1" indent="1"/>
    </xf>
    <xf numFmtId="0" fontId="28" fillId="0" borderId="0" xfId="0" applyFont="1" applyAlignment="1">
      <alignment horizontal="left" vertical="center"/>
    </xf>
    <xf numFmtId="0" fontId="29" fillId="0" borderId="0" xfId="0" applyFont="1" applyAlignment="1">
      <alignment horizontal="center" vertical="center"/>
    </xf>
    <xf numFmtId="0" fontId="30" fillId="0" borderId="4" xfId="0" applyFont="1" applyBorder="1" applyAlignment="1">
      <alignment wrapText="1"/>
    </xf>
    <xf numFmtId="0" fontId="30" fillId="0" borderId="3" xfId="0" applyFont="1" applyBorder="1" applyAlignment="1">
      <alignment wrapText="1"/>
    </xf>
    <xf numFmtId="0" fontId="0" fillId="0" borderId="0" xfId="0" applyAlignment="1">
      <alignment wrapText="1"/>
    </xf>
    <xf numFmtId="0" fontId="30" fillId="0" borderId="3" xfId="0" applyFont="1" applyBorder="1" applyAlignment="1">
      <alignment horizontal="center" wrapText="1"/>
    </xf>
    <xf numFmtId="0" fontId="31" fillId="0" borderId="6" xfId="0" applyFont="1" applyBorder="1"/>
    <xf numFmtId="0" fontId="32" fillId="0" borderId="26" xfId="0" applyFont="1" applyBorder="1"/>
    <xf numFmtId="0" fontId="31" fillId="0" borderId="26" xfId="0" applyFont="1" applyBorder="1" applyAlignment="1">
      <alignment horizontal="center"/>
    </xf>
    <xf numFmtId="10" fontId="31" fillId="0" borderId="26" xfId="0" applyNumberFormat="1" applyFont="1" applyBorder="1" applyAlignment="1">
      <alignment horizontal="center"/>
    </xf>
    <xf numFmtId="10" fontId="31" fillId="0" borderId="26" xfId="0" applyNumberFormat="1" applyFont="1" applyBorder="1"/>
    <xf numFmtId="0" fontId="33" fillId="0" borderId="0" xfId="0" applyFont="1" applyAlignment="1">
      <alignment horizontal="left" vertical="center"/>
    </xf>
    <xf numFmtId="0" fontId="0" fillId="0" borderId="0" xfId="0" applyAlignment="1">
      <alignment horizontal="left" vertical="center" indent="1"/>
    </xf>
    <xf numFmtId="0" fontId="35" fillId="8" borderId="30" xfId="0" applyFont="1" applyFill="1" applyBorder="1" applyAlignment="1">
      <alignment horizontal="center" vertical="center" wrapText="1"/>
    </xf>
    <xf numFmtId="0" fontId="35" fillId="8" borderId="31" xfId="0" applyFont="1" applyFill="1" applyBorder="1" applyAlignment="1">
      <alignment horizontal="center" vertical="center" wrapText="1"/>
    </xf>
    <xf numFmtId="0" fontId="35" fillId="8" borderId="31" xfId="0" applyFont="1" applyFill="1" applyBorder="1" applyAlignment="1">
      <alignment horizontal="right" vertical="center" wrapText="1"/>
    </xf>
    <xf numFmtId="0" fontId="0" fillId="0" borderId="32" xfId="0" applyBorder="1"/>
    <xf numFmtId="0" fontId="34" fillId="0" borderId="33" xfId="0" applyFont="1" applyBorder="1" applyAlignment="1">
      <alignment vertical="center"/>
    </xf>
    <xf numFmtId="0" fontId="34" fillId="0" borderId="34" xfId="0" applyFont="1" applyBorder="1" applyAlignment="1">
      <alignment vertical="center"/>
    </xf>
    <xf numFmtId="0" fontId="34" fillId="0" borderId="34" xfId="0" applyFont="1" applyBorder="1" applyAlignment="1">
      <alignment horizontal="right" vertical="center"/>
    </xf>
    <xf numFmtId="0" fontId="34" fillId="9" borderId="34" xfId="0" applyFont="1" applyFill="1" applyBorder="1" applyAlignment="1">
      <alignment horizontal="right" vertical="center"/>
    </xf>
    <xf numFmtId="0" fontId="34" fillId="0" borderId="35" xfId="0" applyFont="1" applyBorder="1" applyAlignment="1">
      <alignment vertical="center"/>
    </xf>
    <xf numFmtId="0" fontId="34" fillId="0" borderId="36" xfId="0" applyFont="1" applyBorder="1" applyAlignment="1">
      <alignment vertical="center"/>
    </xf>
    <xf numFmtId="0" fontId="34" fillId="0" borderId="36" xfId="0" applyFont="1" applyBorder="1" applyAlignment="1">
      <alignment horizontal="right" vertical="center"/>
    </xf>
    <xf numFmtId="0" fontId="34" fillId="9" borderId="36" xfId="0" applyFont="1" applyFill="1" applyBorder="1" applyAlignment="1">
      <alignment horizontal="right" vertical="center"/>
    </xf>
    <xf numFmtId="0" fontId="0" fillId="0" borderId="37" xfId="0" applyBorder="1"/>
    <xf numFmtId="0" fontId="21" fillId="2" borderId="0" xfId="0" applyFont="1" applyFill="1" applyAlignment="1">
      <alignment horizontal="left" vertical="center"/>
    </xf>
    <xf numFmtId="0" fontId="37" fillId="4" borderId="0" xfId="0" applyFont="1" applyFill="1" applyBorder="1" applyAlignment="1">
      <alignment horizontal="center" vertical="center" wrapText="1"/>
    </xf>
    <xf numFmtId="0" fontId="10" fillId="0" borderId="0" xfId="0" applyFont="1" applyBorder="1" applyAlignment="1">
      <alignment horizontal="center" vertical="center" wrapText="1"/>
    </xf>
    <xf numFmtId="0" fontId="12" fillId="4" borderId="0" xfId="0" applyFont="1" applyFill="1" applyBorder="1" applyAlignment="1">
      <alignment horizontal="center" vertical="center" wrapText="1"/>
    </xf>
    <xf numFmtId="0" fontId="17" fillId="5" borderId="24" xfId="0" applyFont="1" applyFill="1" applyBorder="1" applyAlignment="1">
      <alignment horizontal="left" vertical="center" wrapText="1" indent="1" readingOrder="1"/>
    </xf>
    <xf numFmtId="0" fontId="17" fillId="5" borderId="24" xfId="0" quotePrefix="1" applyFont="1" applyFill="1" applyBorder="1" applyAlignment="1">
      <alignment horizontal="center" vertical="center" wrapText="1" readingOrder="1"/>
    </xf>
    <xf numFmtId="171" fontId="17" fillId="5" borderId="24" xfId="2" applyNumberFormat="1" applyFont="1" applyFill="1" applyBorder="1" applyAlignment="1">
      <alignment horizontal="left" vertical="center" wrapText="1" indent="1" readingOrder="1"/>
    </xf>
    <xf numFmtId="0" fontId="16" fillId="7" borderId="24" xfId="0" applyFont="1" applyFill="1" applyBorder="1" applyAlignment="1">
      <alignment horizontal="left" vertical="center" wrapText="1" indent="1" readingOrder="1"/>
    </xf>
    <xf numFmtId="171" fontId="16" fillId="7" borderId="24" xfId="0" applyNumberFormat="1" applyFont="1" applyFill="1" applyBorder="1" applyAlignment="1">
      <alignment horizontal="left" vertical="center" wrapText="1" indent="1" readingOrder="1"/>
    </xf>
    <xf numFmtId="0" fontId="15" fillId="6" borderId="21" xfId="0" applyFont="1" applyFill="1" applyBorder="1" applyAlignment="1">
      <alignment horizontal="center" vertical="center" wrapText="1"/>
    </xf>
    <xf numFmtId="164" fontId="15" fillId="6" borderId="22" xfId="0" applyNumberFormat="1" applyFont="1" applyFill="1" applyBorder="1" applyAlignment="1">
      <alignment horizontal="center" vertical="center" wrapText="1"/>
    </xf>
    <xf numFmtId="0" fontId="7" fillId="2" borderId="0" xfId="0" applyFont="1" applyFill="1" applyAlignment="1">
      <alignment vertical="center" wrapText="1"/>
    </xf>
    <xf numFmtId="0" fontId="9" fillId="2" borderId="0" xfId="0" applyFont="1" applyFill="1" applyAlignment="1">
      <alignment horizontal="right" vertical="center"/>
    </xf>
    <xf numFmtId="2" fontId="7" fillId="2" borderId="0" xfId="0" applyNumberFormat="1" applyFont="1" applyFill="1" applyAlignment="1">
      <alignment vertical="center"/>
    </xf>
    <xf numFmtId="2" fontId="7" fillId="2" borderId="23" xfId="0" applyNumberFormat="1" applyFont="1" applyFill="1" applyBorder="1" applyAlignment="1">
      <alignment vertical="center"/>
    </xf>
    <xf numFmtId="0" fontId="14" fillId="2" borderId="0" xfId="0" applyFont="1" applyFill="1" applyAlignment="1">
      <alignment horizontal="left" vertical="center" wrapText="1" indent="1"/>
    </xf>
    <xf numFmtId="0" fontId="14" fillId="2" borderId="0" xfId="0" applyFont="1" applyFill="1" applyAlignment="1">
      <alignment horizontal="right" vertical="center"/>
    </xf>
    <xf numFmtId="2" fontId="8" fillId="6" borderId="0" xfId="0" applyNumberFormat="1" applyFont="1" applyFill="1" applyAlignment="1">
      <alignment vertical="center"/>
    </xf>
    <xf numFmtId="174" fontId="5" fillId="2" borderId="0" xfId="0" applyNumberFormat="1" applyFont="1" applyFill="1" applyAlignment="1" applyProtection="1">
      <alignment horizontal="right" vertical="center" wrapText="1"/>
      <protection locked="0"/>
    </xf>
    <xf numFmtId="0" fontId="6" fillId="2" borderId="0" xfId="0" applyFont="1" applyFill="1" applyAlignment="1" applyProtection="1">
      <alignment horizontal="left" vertical="center" wrapText="1"/>
      <protection locked="0"/>
    </xf>
    <xf numFmtId="0" fontId="6" fillId="2" borderId="38" xfId="0" applyFont="1" applyFill="1" applyBorder="1" applyAlignment="1" applyProtection="1">
      <alignment vertical="center"/>
      <protection locked="0"/>
    </xf>
    <xf numFmtId="0" fontId="6" fillId="2" borderId="0" xfId="0" applyFont="1" applyFill="1" applyBorder="1" applyAlignment="1" applyProtection="1">
      <alignment vertical="center" wrapText="1"/>
      <protection locked="0"/>
    </xf>
    <xf numFmtId="164" fontId="6" fillId="2" borderId="0" xfId="1" applyFont="1" applyFill="1" applyBorder="1" applyAlignment="1">
      <alignment horizontal="center" vertical="center"/>
    </xf>
    <xf numFmtId="0" fontId="6" fillId="2" borderId="0" xfId="0" applyFont="1" applyFill="1" applyBorder="1" applyAlignment="1" applyProtection="1">
      <alignment horizontal="left" vertical="center" wrapText="1"/>
      <protection locked="0"/>
    </xf>
    <xf numFmtId="0" fontId="21" fillId="4" borderId="0" xfId="0" applyFont="1" applyFill="1" applyBorder="1" applyAlignment="1">
      <alignment horizontal="left" vertical="center" wrapText="1"/>
    </xf>
    <xf numFmtId="169" fontId="25" fillId="4" borderId="9" xfId="3" applyNumberFormat="1" applyFont="1" applyFill="1" applyBorder="1" applyAlignment="1">
      <alignment horizontal="center" vertical="center"/>
    </xf>
    <xf numFmtId="169" fontId="26" fillId="4" borderId="9" xfId="3" applyNumberFormat="1" applyFont="1" applyFill="1" applyBorder="1" applyAlignment="1">
      <alignment horizontal="center" vertical="center"/>
    </xf>
    <xf numFmtId="169" fontId="21" fillId="4" borderId="9" xfId="3" applyNumberFormat="1" applyFont="1" applyFill="1" applyBorder="1" applyAlignment="1">
      <alignment horizontal="center" vertical="center"/>
    </xf>
    <xf numFmtId="169" fontId="25" fillId="2" borderId="16" xfId="3" applyNumberFormat="1" applyFont="1" applyFill="1" applyBorder="1" applyAlignment="1">
      <alignment horizontal="center" vertical="center" wrapText="1"/>
    </xf>
    <xf numFmtId="0" fontId="27" fillId="0" borderId="0" xfId="0" applyFont="1" applyAlignment="1">
      <alignment horizontal="center" vertical="center" wrapText="1"/>
    </xf>
    <xf numFmtId="0" fontId="43" fillId="0" borderId="0" xfId="0" applyFont="1" applyAlignment="1">
      <alignment horizontal="center" vertical="center" wrapText="1"/>
    </xf>
    <xf numFmtId="0" fontId="37" fillId="2" borderId="0" xfId="0" applyFont="1" applyFill="1" applyBorder="1" applyAlignment="1">
      <alignment horizontal="center" vertical="center" wrapText="1"/>
    </xf>
    <xf numFmtId="0" fontId="20" fillId="6" borderId="0" xfId="0" applyFont="1" applyFill="1" applyBorder="1" applyAlignment="1">
      <alignment horizontal="center" vertical="center" wrapText="1"/>
    </xf>
    <xf numFmtId="164" fontId="12" fillId="2" borderId="0" xfId="1" applyFont="1" applyFill="1" applyBorder="1" applyAlignment="1">
      <alignment horizontal="center" vertical="center" wrapText="1"/>
    </xf>
    <xf numFmtId="0" fontId="12" fillId="0" borderId="0" xfId="0" applyFont="1" applyBorder="1" applyAlignment="1">
      <alignment horizontal="center" vertical="center" wrapText="1"/>
    </xf>
    <xf numFmtId="173" fontId="11" fillId="2" borderId="0" xfId="1" applyNumberFormat="1" applyFont="1" applyFill="1" applyAlignment="1">
      <alignment vertical="center" wrapText="1"/>
    </xf>
    <xf numFmtId="173" fontId="13" fillId="2" borderId="0" xfId="1" applyNumberFormat="1" applyFont="1" applyFill="1" applyAlignment="1">
      <alignment vertical="center" wrapText="1"/>
    </xf>
    <xf numFmtId="0" fontId="12" fillId="2" borderId="0" xfId="0" applyFont="1" applyFill="1" applyBorder="1" applyAlignment="1">
      <alignment horizontal="center" vertical="center" wrapText="1"/>
    </xf>
    <xf numFmtId="9" fontId="11" fillId="2" borderId="0" xfId="3" applyFont="1" applyFill="1" applyAlignment="1">
      <alignment vertical="center" wrapText="1"/>
    </xf>
    <xf numFmtId="167" fontId="10" fillId="2" borderId="0" xfId="0" applyNumberFormat="1" applyFont="1" applyFill="1" applyBorder="1" applyAlignment="1">
      <alignment horizontal="center" vertical="center" wrapText="1"/>
    </xf>
    <xf numFmtId="167" fontId="11" fillId="2" borderId="0" xfId="1" applyNumberFormat="1" applyFont="1" applyFill="1" applyAlignment="1">
      <alignment vertical="center" wrapText="1"/>
    </xf>
    <xf numFmtId="0" fontId="12" fillId="4" borderId="0" xfId="0" applyFont="1" applyFill="1" applyBorder="1" applyAlignment="1">
      <alignment horizontal="left" vertical="center" wrapText="1"/>
    </xf>
    <xf numFmtId="173" fontId="36" fillId="2" borderId="0" xfId="1" applyNumberFormat="1" applyFont="1" applyFill="1" applyAlignment="1">
      <alignment vertical="center" wrapText="1"/>
    </xf>
    <xf numFmtId="167" fontId="11" fillId="2" borderId="0" xfId="0" applyNumberFormat="1" applyFont="1" applyFill="1" applyAlignment="1">
      <alignment vertical="center" wrapText="1"/>
    </xf>
    <xf numFmtId="168" fontId="12" fillId="2" borderId="0" xfId="0" applyNumberFormat="1" applyFont="1" applyFill="1" applyAlignment="1">
      <alignment vertical="center" wrapText="1"/>
    </xf>
    <xf numFmtId="167" fontId="12" fillId="2" borderId="0" xfId="0" applyNumberFormat="1" applyFont="1" applyFill="1" applyAlignment="1">
      <alignment vertical="center" wrapText="1"/>
    </xf>
    <xf numFmtId="167" fontId="11" fillId="2" borderId="0" xfId="2" applyNumberFormat="1" applyFont="1" applyFill="1" applyAlignment="1">
      <alignment vertical="center" wrapText="1"/>
    </xf>
    <xf numFmtId="167" fontId="13" fillId="2" borderId="0" xfId="0" applyNumberFormat="1" applyFont="1" applyFill="1" applyAlignment="1">
      <alignment vertical="center" wrapText="1"/>
    </xf>
    <xf numFmtId="0" fontId="41" fillId="6" borderId="5" xfId="0" applyFont="1" applyFill="1" applyBorder="1" applyAlignment="1">
      <alignment horizontal="left" vertical="center" wrapText="1"/>
    </xf>
    <xf numFmtId="167" fontId="13" fillId="2" borderId="0" xfId="1" applyNumberFormat="1" applyFont="1" applyFill="1" applyAlignment="1">
      <alignment vertical="center" wrapText="1"/>
    </xf>
    <xf numFmtId="169" fontId="11" fillId="2" borderId="0" xfId="3" applyNumberFormat="1" applyFont="1" applyFill="1" applyAlignment="1">
      <alignment vertical="center" wrapText="1"/>
    </xf>
    <xf numFmtId="169" fontId="11" fillId="2" borderId="0" xfId="0" applyNumberFormat="1" applyFont="1" applyFill="1" applyAlignment="1">
      <alignment vertical="center" wrapText="1"/>
    </xf>
    <xf numFmtId="0" fontId="44" fillId="0" borderId="0" xfId="0" applyFont="1" applyAlignment="1">
      <alignment wrapText="1"/>
    </xf>
    <xf numFmtId="3" fontId="40" fillId="6" borderId="0" xfId="0" applyNumberFormat="1" applyFont="1" applyFill="1" applyBorder="1" applyAlignment="1" applyProtection="1">
      <alignment horizontal="left" vertical="center"/>
      <protection locked="0"/>
    </xf>
    <xf numFmtId="3" fontId="40" fillId="6" borderId="0" xfId="0" applyNumberFormat="1" applyFont="1" applyFill="1" applyBorder="1" applyAlignment="1" applyProtection="1">
      <alignment horizontal="left" vertical="center" wrapText="1"/>
      <protection locked="0"/>
    </xf>
    <xf numFmtId="0" fontId="37" fillId="4" borderId="0" xfId="0" applyFont="1" applyFill="1" applyBorder="1" applyAlignment="1">
      <alignment horizontal="left" vertical="center" wrapText="1"/>
    </xf>
    <xf numFmtId="0" fontId="21" fillId="2" borderId="5" xfId="0" applyFont="1" applyFill="1" applyBorder="1" applyAlignment="1">
      <alignment horizontal="left" vertical="center" wrapText="1"/>
    </xf>
    <xf numFmtId="170" fontId="27" fillId="4" borderId="0" xfId="1" applyNumberFormat="1" applyFont="1" applyFill="1" applyBorder="1" applyAlignment="1">
      <alignment horizontal="left" vertical="center" wrapText="1"/>
    </xf>
    <xf numFmtId="10" fontId="36" fillId="4" borderId="0" xfId="0" applyNumberFormat="1" applyFont="1" applyFill="1" applyBorder="1" applyAlignment="1">
      <alignment horizontal="left" vertical="center" wrapText="1"/>
    </xf>
    <xf numFmtId="164" fontId="12" fillId="4" borderId="0" xfId="1" applyFont="1" applyFill="1" applyBorder="1" applyAlignment="1">
      <alignment horizontal="left" vertical="center" wrapText="1"/>
    </xf>
    <xf numFmtId="0" fontId="38" fillId="4" borderId="0" xfId="0" applyFont="1" applyFill="1" applyBorder="1" applyAlignment="1">
      <alignment horizontal="left" vertical="center" wrapText="1"/>
    </xf>
    <xf numFmtId="10" fontId="36" fillId="4" borderId="0" xfId="3" applyNumberFormat="1" applyFont="1" applyFill="1" applyBorder="1" applyAlignment="1">
      <alignment horizontal="left" vertical="center" wrapText="1"/>
    </xf>
    <xf numFmtId="0" fontId="27" fillId="4" borderId="0" xfId="0" applyFont="1" applyFill="1" applyAlignment="1">
      <alignment horizontal="left" vertical="center" wrapText="1"/>
    </xf>
    <xf numFmtId="0" fontId="11" fillId="4" borderId="0" xfId="0" applyFont="1" applyFill="1" applyAlignment="1">
      <alignment horizontal="left" vertical="center" wrapText="1"/>
    </xf>
    <xf numFmtId="0" fontId="11" fillId="0" borderId="0" xfId="0" applyFont="1" applyAlignment="1">
      <alignment horizontal="left" vertical="center" wrapText="1"/>
    </xf>
    <xf numFmtId="164" fontId="36" fillId="4" borderId="0" xfId="1" applyFont="1" applyFill="1" applyBorder="1" applyAlignment="1">
      <alignment horizontal="left" vertical="center" wrapText="1"/>
    </xf>
    <xf numFmtId="169" fontId="36" fillId="4" borderId="0" xfId="3" applyNumberFormat="1" applyFont="1" applyFill="1" applyBorder="1" applyAlignment="1">
      <alignment horizontal="left" vertical="center" wrapText="1"/>
    </xf>
    <xf numFmtId="0" fontId="10" fillId="4" borderId="0" xfId="0" applyFont="1" applyFill="1" applyBorder="1" applyAlignment="1">
      <alignment horizontal="left" vertical="center" wrapText="1"/>
    </xf>
    <xf numFmtId="0" fontId="27" fillId="2" borderId="5" xfId="0" applyFont="1" applyFill="1" applyBorder="1" applyAlignment="1">
      <alignment horizontal="left" vertical="center" wrapText="1"/>
    </xf>
    <xf numFmtId="0" fontId="41" fillId="6" borderId="0" xfId="0" applyFont="1" applyFill="1" applyAlignment="1">
      <alignment horizontal="left" vertical="center" wrapText="1"/>
    </xf>
    <xf numFmtId="0" fontId="42" fillId="2" borderId="5" xfId="0" applyFont="1" applyFill="1" applyBorder="1" applyAlignment="1">
      <alignment horizontal="left" vertical="center" wrapText="1"/>
    </xf>
    <xf numFmtId="167" fontId="11" fillId="2" borderId="25" xfId="2" applyNumberFormat="1" applyFont="1" applyFill="1" applyBorder="1" applyAlignment="1">
      <alignment vertical="center" wrapText="1"/>
    </xf>
    <xf numFmtId="164" fontId="11" fillId="2" borderId="25" xfId="0" applyNumberFormat="1" applyFont="1" applyFill="1" applyBorder="1" applyAlignment="1">
      <alignment vertical="center" wrapText="1"/>
    </xf>
    <xf numFmtId="170" fontId="27" fillId="10" borderId="0" xfId="1" applyNumberFormat="1" applyFont="1" applyFill="1" applyBorder="1" applyAlignment="1">
      <alignment horizontal="left" vertical="center" wrapText="1"/>
    </xf>
    <xf numFmtId="0" fontId="38" fillId="10" borderId="0" xfId="0" applyFont="1" applyFill="1" applyBorder="1" applyAlignment="1">
      <alignment horizontal="left" vertical="center" wrapText="1"/>
    </xf>
    <xf numFmtId="173" fontId="27" fillId="10" borderId="0" xfId="1" applyNumberFormat="1" applyFont="1" applyFill="1" applyBorder="1" applyAlignment="1">
      <alignment horizontal="left" vertical="center" wrapText="1"/>
    </xf>
    <xf numFmtId="170" fontId="21" fillId="4" borderId="0" xfId="1" applyNumberFormat="1" applyFont="1" applyFill="1" applyBorder="1" applyAlignment="1">
      <alignment horizontal="left" vertical="center" wrapText="1"/>
    </xf>
    <xf numFmtId="0" fontId="21" fillId="4" borderId="5" xfId="0" applyFont="1" applyFill="1" applyBorder="1" applyAlignment="1">
      <alignment horizontal="left" vertical="center" wrapText="1"/>
    </xf>
    <xf numFmtId="167" fontId="45" fillId="2" borderId="39" xfId="0" applyNumberFormat="1" applyFont="1" applyFill="1" applyBorder="1" applyAlignment="1" applyProtection="1">
      <alignment horizontal="left" vertical="center" wrapText="1"/>
      <protection locked="0"/>
    </xf>
    <xf numFmtId="3" fontId="40" fillId="6" borderId="0" xfId="0" applyNumberFormat="1" applyFont="1" applyFill="1" applyBorder="1" applyAlignment="1" applyProtection="1">
      <alignment horizontal="right" vertical="center" wrapText="1"/>
      <protection locked="0"/>
    </xf>
    <xf numFmtId="0" fontId="41" fillId="6" borderId="0" xfId="0" applyFont="1" applyFill="1" applyBorder="1" applyAlignment="1">
      <alignment horizontal="left" vertical="center" wrapText="1"/>
    </xf>
    <xf numFmtId="0" fontId="27" fillId="2" borderId="0" xfId="0" applyFont="1" applyFill="1" applyBorder="1" applyAlignment="1">
      <alignment horizontal="left" vertical="center" wrapText="1"/>
    </xf>
    <xf numFmtId="167" fontId="11" fillId="4" borderId="0" xfId="0" applyNumberFormat="1" applyFont="1" applyFill="1" applyAlignment="1">
      <alignment horizontal="left" vertical="center" wrapText="1"/>
    </xf>
    <xf numFmtId="9" fontId="11" fillId="4" borderId="0" xfId="3" applyFont="1" applyFill="1" applyAlignment="1">
      <alignment horizontal="left" vertical="center" wrapText="1"/>
    </xf>
    <xf numFmtId="167" fontId="45" fillId="2" borderId="0" xfId="0" applyNumberFormat="1" applyFont="1" applyFill="1" applyBorder="1" applyAlignment="1" applyProtection="1">
      <alignment horizontal="left" vertical="center" wrapText="1"/>
      <protection locked="0"/>
    </xf>
    <xf numFmtId="3" fontId="40" fillId="2" borderId="0" xfId="0" applyNumberFormat="1" applyFont="1" applyFill="1" applyBorder="1" applyAlignment="1" applyProtection="1">
      <alignment horizontal="left" vertical="center" wrapText="1"/>
      <protection locked="0"/>
    </xf>
    <xf numFmtId="3" fontId="40" fillId="2" borderId="0" xfId="0" applyNumberFormat="1" applyFont="1" applyFill="1" applyBorder="1" applyAlignment="1" applyProtection="1">
      <alignment horizontal="right" vertical="center" wrapText="1"/>
      <protection locked="0"/>
    </xf>
    <xf numFmtId="0" fontId="20" fillId="2" borderId="0" xfId="0" applyFont="1" applyFill="1" applyBorder="1" applyAlignment="1">
      <alignment horizontal="center" vertical="center" wrapText="1"/>
    </xf>
    <xf numFmtId="3" fontId="21" fillId="2" borderId="0" xfId="0" applyNumberFormat="1" applyFont="1" applyFill="1" applyBorder="1" applyAlignment="1" applyProtection="1">
      <alignment horizontal="left" vertical="center"/>
      <protection locked="0"/>
    </xf>
    <xf numFmtId="3" fontId="36" fillId="2" borderId="0" xfId="0" applyNumberFormat="1" applyFont="1" applyFill="1" applyBorder="1" applyAlignment="1" applyProtection="1">
      <alignment horizontal="left" vertical="center"/>
      <protection locked="0"/>
    </xf>
    <xf numFmtId="169" fontId="5" fillId="2" borderId="0" xfId="0" applyNumberFormat="1" applyFont="1" applyFill="1" applyBorder="1" applyAlignment="1" applyProtection="1">
      <alignment horizontal="center" vertical="center" wrapText="1"/>
      <protection locked="0"/>
    </xf>
    <xf numFmtId="169" fontId="21" fillId="2" borderId="16" xfId="3" applyNumberFormat="1" applyFont="1" applyFill="1" applyBorder="1" applyAlignment="1">
      <alignment horizontal="center" vertical="top" wrapText="1"/>
    </xf>
    <xf numFmtId="10" fontId="36" fillId="6" borderId="4" xfId="3" applyNumberFormat="1" applyFont="1" applyFill="1" applyBorder="1" applyAlignment="1">
      <alignment horizontal="center" vertical="center" wrapText="1"/>
    </xf>
    <xf numFmtId="3" fontId="21" fillId="11" borderId="0" xfId="0" applyNumberFormat="1" applyFont="1" applyFill="1" applyBorder="1" applyAlignment="1" applyProtection="1">
      <alignment horizontal="left" vertical="center" wrapText="1"/>
      <protection locked="0"/>
    </xf>
    <xf numFmtId="3" fontId="21" fillId="11" borderId="0" xfId="0" applyNumberFormat="1" applyFont="1" applyFill="1" applyBorder="1" applyAlignment="1" applyProtection="1">
      <alignment horizontal="right" vertical="center" wrapText="1"/>
      <protection locked="0"/>
    </xf>
    <xf numFmtId="3" fontId="21" fillId="5" borderId="0" xfId="0" applyNumberFormat="1" applyFont="1" applyFill="1" applyBorder="1" applyAlignment="1" applyProtection="1">
      <alignment horizontal="left" vertical="center" wrapText="1"/>
      <protection locked="0"/>
    </xf>
    <xf numFmtId="3" fontId="21" fillId="5" borderId="0" xfId="0" applyNumberFormat="1" applyFont="1" applyFill="1" applyBorder="1" applyAlignment="1" applyProtection="1">
      <alignment horizontal="right" vertical="center" wrapText="1"/>
      <protection locked="0"/>
    </xf>
    <xf numFmtId="169" fontId="12" fillId="4" borderId="0" xfId="3" applyNumberFormat="1" applyFont="1" applyFill="1" applyBorder="1" applyAlignment="1">
      <alignment horizontal="left" vertical="center" wrapText="1"/>
    </xf>
    <xf numFmtId="173" fontId="12" fillId="4" borderId="0" xfId="1" applyNumberFormat="1" applyFont="1" applyFill="1" applyBorder="1" applyAlignment="1">
      <alignment horizontal="center" vertical="center" wrapText="1"/>
    </xf>
    <xf numFmtId="10" fontId="21" fillId="5" borderId="0" xfId="3" applyNumberFormat="1" applyFont="1" applyFill="1" applyBorder="1" applyAlignment="1">
      <alignment horizontal="center" vertical="center" wrapText="1"/>
    </xf>
    <xf numFmtId="10" fontId="21" fillId="11" borderId="0" xfId="3" applyNumberFormat="1" applyFont="1" applyFill="1" applyBorder="1" applyAlignment="1">
      <alignment horizontal="center" vertical="center" wrapText="1"/>
    </xf>
    <xf numFmtId="167" fontId="11" fillId="2" borderId="0" xfId="2" applyNumberFormat="1" applyFont="1" applyFill="1" applyBorder="1" applyAlignment="1">
      <alignment vertical="center" wrapText="1"/>
    </xf>
    <xf numFmtId="172" fontId="16" fillId="7" borderId="24" xfId="0" applyNumberFormat="1" applyFont="1" applyFill="1" applyBorder="1" applyAlignment="1">
      <alignment horizontal="center" vertical="center" wrapText="1" readingOrder="1"/>
    </xf>
    <xf numFmtId="0" fontId="46" fillId="5" borderId="0" xfId="0" applyFont="1" applyFill="1" applyBorder="1" applyAlignment="1">
      <alignment horizontal="center" vertical="center" wrapText="1"/>
    </xf>
    <xf numFmtId="0" fontId="46" fillId="5" borderId="0" xfId="0" quotePrefix="1" applyFont="1" applyFill="1" applyBorder="1" applyAlignment="1">
      <alignment horizontal="center" vertical="center" wrapText="1"/>
    </xf>
    <xf numFmtId="171" fontId="46" fillId="5" borderId="0" xfId="2" applyNumberFormat="1" applyFont="1" applyFill="1" applyBorder="1" applyAlignment="1">
      <alignment horizontal="center" vertical="center" wrapText="1"/>
    </xf>
    <xf numFmtId="0" fontId="47" fillId="2" borderId="4" xfId="0" applyFont="1" applyFill="1" applyBorder="1" applyAlignment="1" applyProtection="1">
      <alignment vertical="center" wrapText="1"/>
      <protection locked="0"/>
    </xf>
    <xf numFmtId="164" fontId="47" fillId="2" borderId="4" xfId="1" applyFont="1" applyFill="1" applyBorder="1" applyAlignment="1">
      <alignment horizontal="center" vertical="center"/>
    </xf>
    <xf numFmtId="0" fontId="47" fillId="2" borderId="4" xfId="0" applyFont="1" applyFill="1" applyBorder="1" applyAlignment="1" applyProtection="1">
      <alignment horizontal="left" vertical="center" wrapText="1"/>
      <protection locked="0"/>
    </xf>
    <xf numFmtId="164" fontId="47" fillId="2" borderId="4" xfId="1" applyFont="1" applyFill="1" applyBorder="1" applyAlignment="1" applyProtection="1">
      <alignment vertical="center"/>
      <protection locked="0"/>
    </xf>
    <xf numFmtId="0" fontId="47" fillId="2" borderId="4" xfId="0" applyFont="1" applyFill="1" applyBorder="1" applyAlignment="1" applyProtection="1">
      <alignment vertical="center"/>
      <protection locked="0"/>
    </xf>
    <xf numFmtId="0" fontId="21" fillId="4" borderId="0" xfId="0" applyFont="1" applyFill="1" applyAlignment="1">
      <alignment horizontal="left" vertical="center" wrapText="1"/>
    </xf>
    <xf numFmtId="10" fontId="49" fillId="4" borderId="0" xfId="0" applyNumberFormat="1" applyFont="1" applyFill="1" applyBorder="1" applyAlignment="1">
      <alignment horizontal="center" vertical="center" wrapText="1"/>
    </xf>
    <xf numFmtId="0" fontId="42" fillId="2" borderId="0" xfId="0" applyFont="1" applyFill="1" applyBorder="1" applyAlignment="1">
      <alignment horizontal="left" vertical="center" wrapText="1"/>
    </xf>
    <xf numFmtId="173" fontId="49" fillId="11" borderId="0" xfId="0" applyNumberFormat="1" applyFont="1" applyFill="1" applyBorder="1" applyAlignment="1">
      <alignment horizontal="left" vertical="center" wrapText="1"/>
    </xf>
    <xf numFmtId="0" fontId="49" fillId="4" borderId="0" xfId="0" applyFont="1" applyFill="1" applyAlignment="1">
      <alignment horizontal="left" vertical="center" wrapText="1"/>
    </xf>
    <xf numFmtId="10" fontId="49" fillId="11" borderId="0" xfId="3" applyNumberFormat="1" applyFont="1" applyFill="1" applyBorder="1" applyAlignment="1">
      <alignment horizontal="center" vertical="center" wrapText="1"/>
    </xf>
    <xf numFmtId="10" fontId="49" fillId="5" borderId="0" xfId="3" applyNumberFormat="1" applyFont="1" applyFill="1" applyBorder="1" applyAlignment="1">
      <alignment horizontal="center" vertical="center" wrapText="1"/>
    </xf>
    <xf numFmtId="173" fontId="49" fillId="5" borderId="0" xfId="0" applyNumberFormat="1" applyFont="1" applyFill="1" applyBorder="1" applyAlignment="1">
      <alignment horizontal="center" vertical="center" wrapText="1"/>
    </xf>
    <xf numFmtId="10" fontId="21" fillId="10" borderId="0" xfId="3" applyNumberFormat="1" applyFont="1" applyFill="1" applyBorder="1" applyAlignment="1">
      <alignment horizontal="center" vertical="center" wrapText="1"/>
    </xf>
    <xf numFmtId="168" fontId="49" fillId="5" borderId="0" xfId="0" applyNumberFormat="1" applyFont="1" applyFill="1" applyBorder="1" applyAlignment="1">
      <alignment horizontal="center" vertical="center" wrapText="1"/>
    </xf>
    <xf numFmtId="168" fontId="21" fillId="4" borderId="0" xfId="0" applyNumberFormat="1" applyFont="1" applyFill="1" applyBorder="1" applyAlignment="1">
      <alignment horizontal="center" vertical="center" wrapText="1"/>
    </xf>
    <xf numFmtId="167" fontId="21" fillId="5" borderId="0" xfId="2" applyNumberFormat="1" applyFont="1" applyFill="1" applyBorder="1" applyAlignment="1">
      <alignment horizontal="center" vertical="center" wrapText="1"/>
    </xf>
    <xf numFmtId="167" fontId="21" fillId="5" borderId="0" xfId="0" applyNumberFormat="1" applyFont="1" applyFill="1" applyBorder="1" applyAlignment="1">
      <alignment horizontal="center" vertical="center" wrapText="1"/>
    </xf>
    <xf numFmtId="164" fontId="36" fillId="4" borderId="0" xfId="1" applyFont="1" applyFill="1" applyBorder="1" applyAlignment="1">
      <alignment horizontal="center" vertical="center" wrapText="1"/>
    </xf>
    <xf numFmtId="169" fontId="36" fillId="4" borderId="0" xfId="3" applyNumberFormat="1" applyFont="1" applyFill="1" applyBorder="1" applyAlignment="1">
      <alignment horizontal="center" vertical="center" wrapText="1"/>
    </xf>
    <xf numFmtId="0" fontId="11" fillId="4" borderId="0" xfId="0" applyFont="1" applyFill="1" applyAlignment="1">
      <alignment horizontal="center" vertical="center" wrapText="1"/>
    </xf>
    <xf numFmtId="0" fontId="38" fillId="4" borderId="0" xfId="0" applyFont="1" applyFill="1" applyBorder="1" applyAlignment="1">
      <alignment horizontal="center" vertical="center" wrapText="1"/>
    </xf>
    <xf numFmtId="10" fontId="36" fillId="4" borderId="0" xfId="3" applyNumberFormat="1" applyFont="1" applyFill="1" applyBorder="1" applyAlignment="1">
      <alignment horizontal="center" vertical="center" wrapText="1"/>
    </xf>
    <xf numFmtId="169" fontId="21" fillId="5" borderId="0" xfId="3" applyNumberFormat="1" applyFont="1" applyFill="1" applyBorder="1" applyAlignment="1">
      <alignment horizontal="center" vertical="center" wrapText="1"/>
    </xf>
    <xf numFmtId="164" fontId="13" fillId="4" borderId="0" xfId="1" applyNumberFormat="1" applyFont="1" applyFill="1" applyAlignment="1">
      <alignment horizontal="center" vertical="center" wrapText="1"/>
    </xf>
    <xf numFmtId="173" fontId="21" fillId="5" borderId="0" xfId="1" applyNumberFormat="1" applyFont="1" applyFill="1" applyBorder="1" applyAlignment="1">
      <alignment vertical="center" wrapText="1"/>
    </xf>
    <xf numFmtId="173" fontId="49" fillId="11" borderId="0" xfId="0" applyNumberFormat="1" applyFont="1" applyFill="1" applyBorder="1" applyAlignment="1">
      <alignment horizontal="center" vertical="center" wrapText="1"/>
    </xf>
    <xf numFmtId="168" fontId="49" fillId="11" borderId="4" xfId="0" applyNumberFormat="1" applyFont="1" applyFill="1" applyBorder="1" applyAlignment="1">
      <alignment horizontal="center" vertical="center" wrapText="1"/>
    </xf>
    <xf numFmtId="9" fontId="49" fillId="11" borderId="4" xfId="1" applyNumberFormat="1" applyFont="1" applyFill="1" applyBorder="1" applyAlignment="1">
      <alignment horizontal="center" vertical="center" wrapText="1"/>
    </xf>
    <xf numFmtId="167" fontId="49" fillId="11" borderId="0" xfId="2" applyNumberFormat="1" applyFont="1" applyFill="1" applyBorder="1" applyAlignment="1">
      <alignment horizontal="center" vertical="center" wrapText="1"/>
    </xf>
    <xf numFmtId="167" fontId="49" fillId="11" borderId="0" xfId="0" applyNumberFormat="1" applyFont="1" applyFill="1" applyBorder="1" applyAlignment="1">
      <alignment horizontal="center" vertical="center" wrapText="1"/>
    </xf>
    <xf numFmtId="164" fontId="49" fillId="4" borderId="0" xfId="1" applyFont="1" applyFill="1" applyBorder="1" applyAlignment="1">
      <alignment horizontal="center" vertical="center" wrapText="1"/>
    </xf>
    <xf numFmtId="167" fontId="36" fillId="4" borderId="0" xfId="3" applyNumberFormat="1" applyFont="1" applyFill="1" applyBorder="1" applyAlignment="1">
      <alignment horizontal="center" vertical="center" wrapText="1"/>
    </xf>
    <xf numFmtId="10" fontId="49" fillId="4" borderId="0" xfId="3" applyNumberFormat="1" applyFont="1" applyFill="1" applyBorder="1" applyAlignment="1">
      <alignment horizontal="center" vertical="center" wrapText="1"/>
    </xf>
    <xf numFmtId="169" fontId="21" fillId="11" borderId="0" xfId="3" applyNumberFormat="1" applyFont="1" applyFill="1" applyBorder="1" applyAlignment="1">
      <alignment horizontal="center" vertical="center" wrapText="1"/>
    </xf>
    <xf numFmtId="10" fontId="49" fillId="6" borderId="0" xfId="3" applyNumberFormat="1" applyFont="1" applyFill="1" applyBorder="1" applyAlignment="1">
      <alignment horizontal="center" vertical="center" wrapText="1"/>
    </xf>
    <xf numFmtId="173" fontId="36" fillId="6" borderId="0" xfId="0" applyNumberFormat="1" applyFont="1" applyFill="1" applyBorder="1" applyAlignment="1">
      <alignment horizontal="center" vertical="center" wrapText="1"/>
    </xf>
    <xf numFmtId="10" fontId="36" fillId="10" borderId="0" xfId="3" applyNumberFormat="1" applyFont="1" applyFill="1" applyBorder="1" applyAlignment="1">
      <alignment horizontal="center" vertical="center" wrapText="1"/>
    </xf>
    <xf numFmtId="10" fontId="36" fillId="6" borderId="0" xfId="3" applyNumberFormat="1" applyFont="1" applyFill="1" applyBorder="1" applyAlignment="1">
      <alignment horizontal="center" vertical="center" wrapText="1"/>
    </xf>
    <xf numFmtId="168" fontId="36" fillId="6" borderId="0" xfId="0" applyNumberFormat="1" applyFont="1" applyFill="1" applyBorder="1" applyAlignment="1">
      <alignment horizontal="center" vertical="center" wrapText="1"/>
    </xf>
    <xf numFmtId="169" fontId="36" fillId="6" borderId="0" xfId="1" applyNumberFormat="1" applyFont="1" applyFill="1" applyBorder="1" applyAlignment="1">
      <alignment horizontal="center" vertical="center" wrapText="1"/>
    </xf>
    <xf numFmtId="167" fontId="36" fillId="6" borderId="0" xfId="2" applyNumberFormat="1" applyFont="1" applyFill="1" applyBorder="1" applyAlignment="1">
      <alignment horizontal="center" vertical="center" wrapText="1"/>
    </xf>
    <xf numFmtId="167" fontId="36" fillId="6" borderId="0" xfId="0" applyNumberFormat="1" applyFont="1" applyFill="1" applyBorder="1" applyAlignment="1">
      <alignment horizontal="center" vertical="center" wrapText="1"/>
    </xf>
    <xf numFmtId="0" fontId="36" fillId="4" borderId="0" xfId="0" applyFont="1" applyFill="1" applyAlignment="1">
      <alignment horizontal="center" vertical="center" wrapText="1"/>
    </xf>
    <xf numFmtId="167" fontId="20" fillId="6" borderId="0" xfId="0" applyNumberFormat="1" applyFont="1" applyFill="1" applyAlignment="1">
      <alignment vertical="center" wrapText="1"/>
    </xf>
    <xf numFmtId="0" fontId="49" fillId="2" borderId="0" xfId="0" applyFont="1" applyFill="1" applyAlignment="1">
      <alignment vertical="center"/>
    </xf>
    <xf numFmtId="0" fontId="11" fillId="6" borderId="0" xfId="0" applyFont="1" applyFill="1" applyAlignment="1">
      <alignment horizontal="left" vertical="center" wrapText="1"/>
    </xf>
    <xf numFmtId="169" fontId="20" fillId="6" borderId="0" xfId="3" applyNumberFormat="1" applyFont="1" applyFill="1" applyBorder="1" applyAlignment="1">
      <alignment horizontal="left" vertical="center" wrapText="1"/>
    </xf>
    <xf numFmtId="10" fontId="21" fillId="4" borderId="0" xfId="3" applyNumberFormat="1" applyFont="1" applyFill="1" applyBorder="1" applyAlignment="1">
      <alignment horizontal="center" vertical="center" wrapText="1"/>
    </xf>
    <xf numFmtId="0" fontId="6" fillId="2" borderId="0" xfId="0" applyFont="1" applyFill="1" applyAlignment="1">
      <alignment vertical="center" wrapText="1"/>
    </xf>
    <xf numFmtId="9" fontId="6" fillId="2" borderId="0" xfId="3" applyFont="1" applyFill="1" applyAlignment="1">
      <alignment vertical="center"/>
    </xf>
    <xf numFmtId="10" fontId="6" fillId="2" borderId="0" xfId="0" applyNumberFormat="1" applyFont="1" applyFill="1" applyAlignment="1">
      <alignment vertical="center"/>
    </xf>
    <xf numFmtId="9" fontId="6" fillId="2" borderId="0" xfId="3" applyNumberFormat="1" applyFont="1" applyFill="1" applyAlignment="1">
      <alignment horizontal="center" vertical="center"/>
    </xf>
    <xf numFmtId="10" fontId="6" fillId="2" borderId="0" xfId="3" applyNumberFormat="1" applyFont="1" applyFill="1" applyAlignment="1">
      <alignment horizontal="center" vertical="center"/>
    </xf>
    <xf numFmtId="9" fontId="8" fillId="6" borderId="0" xfId="3" applyNumberFormat="1" applyFont="1" applyFill="1" applyAlignment="1">
      <alignment horizontal="center" vertical="center"/>
    </xf>
    <xf numFmtId="10" fontId="8" fillId="6" borderId="0" xfId="0" applyNumberFormat="1" applyFont="1" applyFill="1" applyAlignment="1">
      <alignment vertical="center"/>
    </xf>
    <xf numFmtId="10" fontId="8" fillId="6" borderId="0" xfId="3" applyNumberFormat="1" applyFont="1" applyFill="1" applyAlignment="1">
      <alignment vertical="center"/>
    </xf>
    <xf numFmtId="167" fontId="22" fillId="5" borderId="0" xfId="2" applyNumberFormat="1" applyFont="1" applyFill="1" applyBorder="1" applyAlignment="1">
      <alignment horizontal="left" vertical="center" wrapText="1" indent="1" readingOrder="1"/>
    </xf>
    <xf numFmtId="167" fontId="23" fillId="7" borderId="0" xfId="0" applyNumberFormat="1" applyFont="1" applyFill="1" applyBorder="1" applyAlignment="1">
      <alignment horizontal="left" vertical="center"/>
    </xf>
    <xf numFmtId="167" fontId="6" fillId="2" borderId="0" xfId="2" applyNumberFormat="1" applyFont="1" applyFill="1" applyAlignment="1">
      <alignment vertical="center"/>
    </xf>
    <xf numFmtId="167" fontId="6" fillId="2" borderId="25" xfId="2" applyNumberFormat="1" applyFont="1" applyFill="1" applyBorder="1" applyAlignment="1">
      <alignment vertical="center"/>
    </xf>
    <xf numFmtId="167" fontId="5" fillId="2" borderId="0" xfId="2" applyNumberFormat="1" applyFont="1" applyFill="1" applyAlignment="1">
      <alignment vertical="center"/>
    </xf>
    <xf numFmtId="167" fontId="8" fillId="6" borderId="0" xfId="2" applyNumberFormat="1" applyFont="1" applyFill="1" applyAlignment="1">
      <alignment vertical="center"/>
    </xf>
    <xf numFmtId="167" fontId="6" fillId="2" borderId="0" xfId="0" applyNumberFormat="1" applyFont="1" applyFill="1" applyAlignment="1">
      <alignment vertical="center"/>
    </xf>
    <xf numFmtId="0" fontId="47" fillId="2" borderId="1" xfId="0" applyFont="1" applyFill="1" applyBorder="1" applyAlignment="1" applyProtection="1">
      <alignment horizontal="left" vertical="center" wrapText="1"/>
      <protection locked="0"/>
    </xf>
    <xf numFmtId="0" fontId="6" fillId="2" borderId="4" xfId="0" applyFont="1" applyFill="1" applyBorder="1" applyAlignment="1" applyProtection="1">
      <alignment vertical="center"/>
      <protection locked="0"/>
    </xf>
    <xf numFmtId="164" fontId="6" fillId="2" borderId="0" xfId="0" applyNumberFormat="1" applyFont="1" applyFill="1" applyAlignment="1" applyProtection="1">
      <alignment vertical="center"/>
      <protection locked="0"/>
    </xf>
    <xf numFmtId="0" fontId="5" fillId="2" borderId="4" xfId="0" applyFont="1" applyFill="1" applyBorder="1" applyAlignment="1" applyProtection="1">
      <alignment vertical="center" wrapText="1"/>
      <protection locked="0"/>
    </xf>
    <xf numFmtId="164" fontId="5" fillId="2" borderId="4" xfId="1" applyFont="1" applyFill="1" applyBorder="1" applyAlignment="1" applyProtection="1">
      <alignment vertical="center"/>
      <protection locked="0"/>
    </xf>
    <xf numFmtId="0" fontId="5" fillId="2" borderId="4" xfId="0" applyFont="1" applyFill="1" applyBorder="1" applyAlignment="1" applyProtection="1">
      <alignment vertical="center"/>
      <protection locked="0"/>
    </xf>
    <xf numFmtId="10" fontId="5" fillId="2" borderId="4" xfId="0" applyNumberFormat="1" applyFont="1" applyFill="1" applyBorder="1" applyAlignment="1" applyProtection="1">
      <alignment vertical="center"/>
      <protection locked="0"/>
    </xf>
    <xf numFmtId="168" fontId="5" fillId="2" borderId="4" xfId="0" applyNumberFormat="1" applyFont="1" applyFill="1" applyBorder="1" applyAlignment="1" applyProtection="1">
      <alignment vertical="center"/>
      <protection locked="0"/>
    </xf>
    <xf numFmtId="9" fontId="5" fillId="2" borderId="4" xfId="0" applyNumberFormat="1" applyFont="1" applyFill="1" applyBorder="1" applyAlignment="1" applyProtection="1">
      <alignment vertical="center"/>
      <protection locked="0"/>
    </xf>
    <xf numFmtId="10" fontId="5" fillId="2" borderId="4" xfId="3" applyNumberFormat="1" applyFont="1" applyFill="1" applyBorder="1" applyAlignment="1" applyProtection="1">
      <alignment vertical="center"/>
      <protection locked="0"/>
    </xf>
    <xf numFmtId="164" fontId="5" fillId="2" borderId="0" xfId="1" applyFont="1" applyFill="1" applyAlignment="1" applyProtection="1">
      <alignment vertical="center"/>
      <protection locked="0"/>
    </xf>
    <xf numFmtId="0" fontId="5" fillId="2" borderId="0" xfId="0" applyFont="1" applyFill="1" applyAlignment="1" applyProtection="1">
      <alignment horizontal="left" vertical="center" wrapText="1"/>
      <protection locked="0"/>
    </xf>
    <xf numFmtId="0" fontId="10" fillId="2" borderId="0" xfId="0" applyFont="1" applyFill="1" applyAlignment="1" applyProtection="1">
      <alignment horizontal="left" vertical="center" wrapText="1"/>
      <protection locked="0"/>
    </xf>
    <xf numFmtId="9" fontId="6" fillId="2" borderId="0" xfId="3" applyFont="1" applyFill="1" applyAlignment="1" applyProtection="1">
      <alignment vertical="center"/>
      <protection locked="0"/>
    </xf>
    <xf numFmtId="173" fontId="6" fillId="2" borderId="0" xfId="1" applyNumberFormat="1" applyFont="1" applyFill="1" applyAlignment="1" applyProtection="1">
      <alignment vertical="center"/>
      <protection locked="0"/>
    </xf>
    <xf numFmtId="173" fontId="5" fillId="2" borderId="0" xfId="1" applyNumberFormat="1" applyFont="1" applyFill="1" applyAlignment="1" applyProtection="1">
      <alignment vertical="center"/>
      <protection locked="0"/>
    </xf>
    <xf numFmtId="9" fontId="5" fillId="2" borderId="0" xfId="3" applyFont="1" applyFill="1" applyAlignment="1" applyProtection="1">
      <alignment vertical="center"/>
      <protection locked="0"/>
    </xf>
    <xf numFmtId="169" fontId="6" fillId="2" borderId="0" xfId="3" applyNumberFormat="1" applyFont="1" applyFill="1" applyBorder="1" applyAlignment="1" applyProtection="1">
      <alignment vertical="center" wrapText="1"/>
      <protection locked="0"/>
    </xf>
    <xf numFmtId="173" fontId="12" fillId="4" borderId="0" xfId="1" applyNumberFormat="1" applyFont="1" applyFill="1" applyBorder="1" applyAlignment="1">
      <alignment horizontal="left" vertical="center" wrapText="1"/>
    </xf>
    <xf numFmtId="10" fontId="12" fillId="2" borderId="0" xfId="1" applyNumberFormat="1" applyFont="1" applyFill="1" applyBorder="1" applyAlignment="1">
      <alignment horizontal="center" vertical="center" wrapText="1"/>
    </xf>
    <xf numFmtId="164" fontId="12" fillId="4" borderId="0" xfId="0" applyNumberFormat="1" applyFont="1" applyFill="1" applyBorder="1" applyAlignment="1">
      <alignment horizontal="center" vertical="center" wrapText="1"/>
    </xf>
    <xf numFmtId="169" fontId="21" fillId="5" borderId="0" xfId="1" applyNumberFormat="1" applyFont="1" applyFill="1" applyBorder="1" applyAlignment="1">
      <alignment horizontal="center" vertical="center" wrapText="1"/>
    </xf>
    <xf numFmtId="164" fontId="11" fillId="2" borderId="0" xfId="1" applyFont="1" applyFill="1" applyAlignment="1">
      <alignment vertical="center" wrapText="1"/>
    </xf>
    <xf numFmtId="164" fontId="49" fillId="5" borderId="0" xfId="1" applyFont="1" applyFill="1" applyBorder="1" applyAlignment="1">
      <alignment horizontal="center" vertical="center" wrapText="1"/>
    </xf>
    <xf numFmtId="10" fontId="7" fillId="2" borderId="0" xfId="3" applyNumberFormat="1" applyFont="1" applyFill="1" applyAlignment="1">
      <alignment horizontal="center" vertical="center"/>
    </xf>
    <xf numFmtId="175" fontId="49" fillId="5" borderId="4" xfId="0" applyNumberFormat="1" applyFont="1" applyFill="1" applyBorder="1" applyAlignment="1">
      <alignment horizontal="center" vertical="center" wrapText="1"/>
    </xf>
    <xf numFmtId="168" fontId="11" fillId="4" borderId="0" xfId="0" applyNumberFormat="1" applyFont="1" applyFill="1" applyAlignment="1">
      <alignment horizontal="left" vertical="center" wrapText="1"/>
    </xf>
    <xf numFmtId="167" fontId="22" fillId="12" borderId="0" xfId="0" applyNumberFormat="1" applyFont="1" applyFill="1" applyBorder="1" applyAlignment="1">
      <alignment horizontal="left" vertical="center" wrapText="1" indent="1" readingOrder="1"/>
    </xf>
    <xf numFmtId="0" fontId="22" fillId="12" borderId="0" xfId="0" quotePrefix="1" applyFont="1" applyFill="1" applyBorder="1" applyAlignment="1">
      <alignment horizontal="center" vertical="center" wrapText="1" readingOrder="1"/>
    </xf>
    <xf numFmtId="171" fontId="22" fillId="12" borderId="0" xfId="2" applyNumberFormat="1" applyFont="1" applyFill="1" applyBorder="1" applyAlignment="1">
      <alignment horizontal="left" vertical="center" wrapText="1" indent="1" readingOrder="1"/>
    </xf>
    <xf numFmtId="0" fontId="22" fillId="12" borderId="0" xfId="0" applyFont="1" applyFill="1" applyBorder="1" applyAlignment="1">
      <alignment horizontal="left" vertical="center" wrapText="1" indent="1" readingOrder="1"/>
    </xf>
    <xf numFmtId="0" fontId="50" fillId="2" borderId="0" xfId="0" applyFont="1" applyFill="1" applyAlignment="1">
      <alignment vertical="center"/>
    </xf>
    <xf numFmtId="0" fontId="6" fillId="3" borderId="11" xfId="0" applyFont="1" applyFill="1" applyBorder="1" applyAlignment="1" applyProtection="1">
      <alignment vertical="center" wrapText="1"/>
      <protection locked="0"/>
    </xf>
    <xf numFmtId="0" fontId="7" fillId="0" borderId="11" xfId="0" applyFont="1" applyBorder="1" applyAlignment="1" applyProtection="1">
      <alignment wrapText="1"/>
      <protection locked="0"/>
    </xf>
    <xf numFmtId="0" fontId="5" fillId="3" borderId="11" xfId="0" applyFont="1" applyFill="1" applyBorder="1" applyAlignment="1" applyProtection="1">
      <alignment vertical="center" wrapText="1"/>
      <protection locked="0"/>
    </xf>
    <xf numFmtId="14" fontId="6" fillId="3" borderId="11" xfId="0" applyNumberFormat="1" applyFont="1" applyFill="1" applyBorder="1" applyAlignment="1" applyProtection="1">
      <alignment horizontal="left" vertical="center" wrapText="1"/>
      <protection locked="0"/>
    </xf>
    <xf numFmtId="0" fontId="7" fillId="0" borderId="11" xfId="0" applyFont="1" applyBorder="1" applyAlignment="1" applyProtection="1">
      <alignment horizontal="left" wrapText="1"/>
      <protection locked="0"/>
    </xf>
    <xf numFmtId="0" fontId="6" fillId="3" borderId="40" xfId="0" applyFont="1" applyFill="1" applyBorder="1" applyAlignment="1" applyProtection="1">
      <alignment vertical="center" wrapText="1"/>
      <protection locked="0"/>
    </xf>
    <xf numFmtId="0" fontId="6" fillId="3" borderId="41" xfId="0" applyFont="1" applyFill="1" applyBorder="1" applyAlignment="1" applyProtection="1">
      <alignment vertical="center" wrapText="1"/>
      <protection locked="0"/>
    </xf>
    <xf numFmtId="0" fontId="6" fillId="3" borderId="42" xfId="0" applyFont="1" applyFill="1" applyBorder="1" applyAlignment="1" applyProtection="1">
      <alignment vertical="center" wrapText="1"/>
      <protection locked="0"/>
    </xf>
    <xf numFmtId="0" fontId="6" fillId="4" borderId="12" xfId="0" applyFont="1" applyFill="1" applyBorder="1" applyAlignment="1" applyProtection="1">
      <alignment vertical="center" wrapText="1"/>
      <protection locked="0"/>
    </xf>
    <xf numFmtId="0" fontId="6" fillId="4" borderId="13" xfId="0" applyFont="1" applyFill="1" applyBorder="1" applyAlignment="1" applyProtection="1">
      <alignment vertical="center" wrapText="1"/>
      <protection locked="0"/>
    </xf>
    <xf numFmtId="0" fontId="7" fillId="4" borderId="14" xfId="0" applyFont="1" applyFill="1" applyBorder="1" applyAlignment="1" applyProtection="1">
      <alignment wrapText="1"/>
      <protection locked="0"/>
    </xf>
    <xf numFmtId="0" fontId="6" fillId="4" borderId="15" xfId="0" applyFont="1" applyFill="1" applyBorder="1" applyAlignment="1" applyProtection="1">
      <alignment vertical="center" wrapText="1"/>
      <protection locked="0"/>
    </xf>
    <xf numFmtId="0" fontId="6" fillId="4" borderId="0" xfId="0" applyFont="1" applyFill="1" applyBorder="1" applyAlignment="1" applyProtection="1">
      <alignment vertical="center" wrapText="1"/>
      <protection locked="0"/>
    </xf>
    <xf numFmtId="0" fontId="7" fillId="4" borderId="7" xfId="0" applyFont="1" applyFill="1" applyBorder="1" applyAlignment="1" applyProtection="1">
      <alignment wrapText="1"/>
      <protection locked="0"/>
    </xf>
    <xf numFmtId="0" fontId="7" fillId="0" borderId="11" xfId="0" applyFont="1" applyBorder="1" applyAlignment="1" applyProtection="1">
      <protection locked="0"/>
    </xf>
    <xf numFmtId="10" fontId="5" fillId="3" borderId="1" xfId="3" applyNumberFormat="1" applyFont="1" applyFill="1" applyBorder="1" applyAlignment="1">
      <alignment vertical="center" wrapText="1"/>
    </xf>
    <xf numFmtId="10" fontId="9" fillId="0" borderId="2" xfId="3" applyNumberFormat="1" applyFont="1" applyBorder="1" applyAlignment="1"/>
    <xf numFmtId="10" fontId="9" fillId="0" borderId="3" xfId="3" applyNumberFormat="1" applyFont="1" applyBorder="1" applyAlignment="1"/>
    <xf numFmtId="167" fontId="6" fillId="3" borderId="1" xfId="2" applyNumberFormat="1" applyFont="1" applyFill="1" applyBorder="1" applyAlignment="1">
      <alignment vertical="center" wrapText="1"/>
    </xf>
    <xf numFmtId="167" fontId="7" fillId="0" borderId="2" xfId="2" applyNumberFormat="1" applyFont="1" applyBorder="1" applyAlignment="1"/>
    <xf numFmtId="167" fontId="7" fillId="0" borderId="3" xfId="2" applyNumberFormat="1" applyFont="1" applyBorder="1" applyAlignment="1"/>
    <xf numFmtId="168" fontId="6" fillId="3" borderId="1" xfId="2" applyNumberFormat="1" applyFont="1" applyFill="1" applyBorder="1" applyAlignment="1">
      <alignment vertical="center"/>
    </xf>
    <xf numFmtId="168" fontId="7" fillId="0" borderId="2" xfId="2" applyNumberFormat="1" applyFont="1" applyBorder="1" applyAlignment="1"/>
    <xf numFmtId="168" fontId="7" fillId="0" borderId="3" xfId="2" applyNumberFormat="1" applyFont="1" applyBorder="1" applyAlignment="1"/>
    <xf numFmtId="167" fontId="6" fillId="3" borderId="2" xfId="2" applyNumberFormat="1" applyFont="1" applyFill="1" applyBorder="1" applyAlignment="1">
      <alignment vertical="center" wrapText="1"/>
    </xf>
    <xf numFmtId="167" fontId="6" fillId="3" borderId="3" xfId="2" applyNumberFormat="1" applyFont="1" applyFill="1" applyBorder="1" applyAlignment="1">
      <alignment vertical="center" wrapText="1"/>
    </xf>
    <xf numFmtId="167" fontId="5" fillId="3" borderId="1" xfId="2" applyNumberFormat="1" applyFont="1" applyFill="1" applyBorder="1" applyAlignment="1">
      <alignment vertical="center" wrapText="1"/>
    </xf>
    <xf numFmtId="167" fontId="5" fillId="3" borderId="2" xfId="2" applyNumberFormat="1" applyFont="1" applyFill="1" applyBorder="1" applyAlignment="1">
      <alignment vertical="center" wrapText="1"/>
    </xf>
    <xf numFmtId="167" fontId="5" fillId="3" borderId="3" xfId="2" applyNumberFormat="1" applyFont="1" applyFill="1" applyBorder="1" applyAlignment="1">
      <alignment vertical="center" wrapText="1"/>
    </xf>
    <xf numFmtId="167" fontId="8" fillId="6" borderId="1" xfId="2" applyNumberFormat="1" applyFont="1" applyFill="1" applyBorder="1" applyAlignment="1">
      <alignment vertical="center" wrapText="1"/>
    </xf>
    <xf numFmtId="167" fontId="8" fillId="6" borderId="2" xfId="2" applyNumberFormat="1" applyFont="1" applyFill="1" applyBorder="1" applyAlignment="1">
      <alignment vertical="center" wrapText="1"/>
    </xf>
    <xf numFmtId="167" fontId="8" fillId="6" borderId="3" xfId="2" applyNumberFormat="1" applyFont="1" applyFill="1" applyBorder="1" applyAlignment="1">
      <alignment vertical="center" wrapText="1"/>
    </xf>
    <xf numFmtId="3" fontId="21" fillId="11" borderId="0" xfId="0" applyNumberFormat="1" applyFont="1" applyFill="1" applyBorder="1" applyAlignment="1" applyProtection="1">
      <alignment horizontal="center" vertical="center" wrapText="1"/>
      <protection locked="0"/>
    </xf>
    <xf numFmtId="3" fontId="21" fillId="5" borderId="0" xfId="0" applyNumberFormat="1" applyFont="1" applyFill="1" applyBorder="1" applyAlignment="1" applyProtection="1">
      <alignment horizontal="center" vertical="center" wrapText="1"/>
      <protection locked="0"/>
    </xf>
    <xf numFmtId="0" fontId="30" fillId="0" borderId="1" xfId="0" applyFont="1" applyBorder="1" applyAlignment="1">
      <alignment horizontal="center" wrapText="1"/>
    </xf>
    <xf numFmtId="0" fontId="30" fillId="0" borderId="2" xfId="0" applyFont="1" applyBorder="1" applyAlignment="1">
      <alignment horizontal="center" wrapText="1"/>
    </xf>
    <xf numFmtId="0" fontId="30" fillId="0" borderId="3" xfId="0" applyFont="1" applyBorder="1" applyAlignment="1">
      <alignment horizontal="center" wrapText="1"/>
    </xf>
    <xf numFmtId="0" fontId="34" fillId="0" borderId="27" xfId="0" applyFont="1" applyBorder="1" applyAlignment="1">
      <alignment horizontal="right" vertical="center" wrapText="1"/>
    </xf>
    <xf numFmtId="0" fontId="34" fillId="0" borderId="28" xfId="0" applyFont="1" applyBorder="1" applyAlignment="1">
      <alignment horizontal="right" vertical="center" wrapText="1"/>
    </xf>
    <xf numFmtId="0" fontId="34" fillId="0" borderId="29" xfId="0" applyFont="1" applyBorder="1" applyAlignment="1">
      <alignment horizontal="right" vertical="center" wrapText="1"/>
    </xf>
  </cellXfs>
  <cellStyles count="10">
    <cellStyle name="Abnormal" xfId="8"/>
    <cellStyle name="Comma 2" xfId="9"/>
    <cellStyle name="Millares" xfId="1" builtinId="3"/>
    <cellStyle name="Moneda" xfId="2" builtinId="4"/>
    <cellStyle name="Normal" xfId="0" builtinId="0"/>
    <cellStyle name="Normal 2" xfId="7"/>
    <cellStyle name="Porcentaje" xfId="3" builtinId="5"/>
    <cellStyle name="Prozent 2" xfId="5"/>
    <cellStyle name="Standard 2" xfId="4"/>
    <cellStyle name="Standard 7" xfId="6"/>
  </cellStyles>
  <dxfs count="0"/>
  <tableStyles count="0" defaultTableStyle="TableStyleMedium2" defaultPivotStyle="PivotStyleLight16"/>
  <colors>
    <mruColors>
      <color rgb="FF1D3243"/>
      <color rgb="FFE2C585"/>
      <color rgb="FFFFFAEB"/>
      <color rgb="FFFFF5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254568</xdr:colOff>
      <xdr:row>5</xdr:row>
      <xdr:rowOff>25968</xdr:rowOff>
    </xdr:to>
    <xdr:pic>
      <xdr:nvPicPr>
        <xdr:cNvPr id="4" name="Grafik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0"/>
          <a:ext cx="978468" cy="9784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216468</xdr:colOff>
      <xdr:row>5</xdr:row>
      <xdr:rowOff>25968</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78468" cy="9784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628650</xdr:colOff>
      <xdr:row>2</xdr:row>
      <xdr:rowOff>104775</xdr:rowOff>
    </xdr:to>
    <xdr:pic>
      <xdr:nvPicPr>
        <xdr:cNvPr id="2" name="Grafik 1" descr="International Monetary Fund">
          <a:hlinkClick xmlns:r="http://schemas.openxmlformats.org/officeDocument/2006/relationships" r:id="" tooltip="International Monetary Fund"/>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152650" cy="485775"/>
        </a:xfrm>
        <a:prstGeom prst="rect">
          <a:avLst/>
        </a:prstGeom>
        <a:noFill/>
        <a:ln w="9525">
          <a:noFill/>
          <a:miter lim="800000"/>
          <a:headEnd/>
          <a:tailEnd/>
        </a:ln>
      </xdr:spPr>
    </xdr:pic>
    <xdr:clientData/>
  </xdr:twoCellAnchor>
  <xdr:twoCellAnchor editAs="oneCell">
    <xdr:from>
      <xdr:col>3</xdr:col>
      <xdr:colOff>0</xdr:colOff>
      <xdr:row>4</xdr:row>
      <xdr:rowOff>0</xdr:rowOff>
    </xdr:from>
    <xdr:to>
      <xdr:col>3</xdr:col>
      <xdr:colOff>95250</xdr:colOff>
      <xdr:row>4</xdr:row>
      <xdr:rowOff>104775</xdr:rowOff>
    </xdr:to>
    <xdr:pic>
      <xdr:nvPicPr>
        <xdr:cNvPr id="3" name="Grafik 1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085850"/>
          <a:ext cx="95250" cy="104775"/>
        </a:xfrm>
        <a:prstGeom prst="rect">
          <a:avLst/>
        </a:prstGeom>
        <a:noFill/>
        <a:ln w="9525">
          <a:noFill/>
          <a:miter lim="800000"/>
          <a:headEnd/>
          <a:tailEnd/>
        </a:ln>
      </xdr:spPr>
    </xdr:pic>
    <xdr:clientData/>
  </xdr:twoCellAnchor>
  <xdr:twoCellAnchor editAs="oneCell">
    <xdr:from>
      <xdr:col>3</xdr:col>
      <xdr:colOff>0</xdr:colOff>
      <xdr:row>5</xdr:row>
      <xdr:rowOff>0</xdr:rowOff>
    </xdr:from>
    <xdr:to>
      <xdr:col>3</xdr:col>
      <xdr:colOff>95250</xdr:colOff>
      <xdr:row>5</xdr:row>
      <xdr:rowOff>114300</xdr:rowOff>
    </xdr:to>
    <xdr:pic>
      <xdr:nvPicPr>
        <xdr:cNvPr id="4" name="Grafik 1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285875"/>
          <a:ext cx="95250" cy="104775"/>
        </a:xfrm>
        <a:prstGeom prst="rect">
          <a:avLst/>
        </a:prstGeom>
        <a:noFill/>
        <a:ln w="9525">
          <a:noFill/>
          <a:miter lim="800000"/>
          <a:headEnd/>
          <a:tailEnd/>
        </a:ln>
      </xdr:spPr>
    </xdr:pic>
    <xdr:clientData/>
  </xdr:twoCellAnchor>
  <xdr:twoCellAnchor editAs="oneCell">
    <xdr:from>
      <xdr:col>3</xdr:col>
      <xdr:colOff>0</xdr:colOff>
      <xdr:row>6</xdr:row>
      <xdr:rowOff>0</xdr:rowOff>
    </xdr:from>
    <xdr:to>
      <xdr:col>3</xdr:col>
      <xdr:colOff>95250</xdr:colOff>
      <xdr:row>6</xdr:row>
      <xdr:rowOff>104775</xdr:rowOff>
    </xdr:to>
    <xdr:pic>
      <xdr:nvPicPr>
        <xdr:cNvPr id="5" name="Grafik 1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485900"/>
          <a:ext cx="95250" cy="104775"/>
        </a:xfrm>
        <a:prstGeom prst="rect">
          <a:avLst/>
        </a:prstGeom>
        <a:noFill/>
        <a:ln w="9525">
          <a:noFill/>
          <a:miter lim="800000"/>
          <a:headEnd/>
          <a:tailEnd/>
        </a:ln>
      </xdr:spPr>
    </xdr:pic>
    <xdr:clientData/>
  </xdr:twoCellAnchor>
  <xdr:twoCellAnchor editAs="oneCell">
    <xdr:from>
      <xdr:col>3</xdr:col>
      <xdr:colOff>0</xdr:colOff>
      <xdr:row>7</xdr:row>
      <xdr:rowOff>0</xdr:rowOff>
    </xdr:from>
    <xdr:to>
      <xdr:col>3</xdr:col>
      <xdr:colOff>95250</xdr:colOff>
      <xdr:row>7</xdr:row>
      <xdr:rowOff>114300</xdr:rowOff>
    </xdr:to>
    <xdr:pic>
      <xdr:nvPicPr>
        <xdr:cNvPr id="6" name="Grafik 2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685925"/>
          <a:ext cx="95250" cy="104775"/>
        </a:xfrm>
        <a:prstGeom prst="rect">
          <a:avLst/>
        </a:prstGeom>
        <a:noFill/>
        <a:ln w="9525">
          <a:noFill/>
          <a:miter lim="800000"/>
          <a:headEnd/>
          <a:tailEnd/>
        </a:ln>
      </xdr:spPr>
    </xdr:pic>
    <xdr:clientData/>
  </xdr:twoCellAnchor>
  <xdr:twoCellAnchor editAs="oneCell">
    <xdr:from>
      <xdr:col>3</xdr:col>
      <xdr:colOff>0</xdr:colOff>
      <xdr:row>8</xdr:row>
      <xdr:rowOff>0</xdr:rowOff>
    </xdr:from>
    <xdr:to>
      <xdr:col>3</xdr:col>
      <xdr:colOff>95250</xdr:colOff>
      <xdr:row>8</xdr:row>
      <xdr:rowOff>104775</xdr:rowOff>
    </xdr:to>
    <xdr:pic>
      <xdr:nvPicPr>
        <xdr:cNvPr id="7" name="Grafik 2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885950"/>
          <a:ext cx="95250" cy="104775"/>
        </a:xfrm>
        <a:prstGeom prst="rect">
          <a:avLst/>
        </a:prstGeom>
        <a:noFill/>
        <a:ln w="9525">
          <a:noFill/>
          <a:miter lim="800000"/>
          <a:headEnd/>
          <a:tailEnd/>
        </a:ln>
      </xdr:spPr>
    </xdr:pic>
    <xdr:clientData/>
  </xdr:twoCellAnchor>
  <xdr:twoCellAnchor editAs="oneCell">
    <xdr:from>
      <xdr:col>3</xdr:col>
      <xdr:colOff>0</xdr:colOff>
      <xdr:row>9</xdr:row>
      <xdr:rowOff>0</xdr:rowOff>
    </xdr:from>
    <xdr:to>
      <xdr:col>3</xdr:col>
      <xdr:colOff>95250</xdr:colOff>
      <xdr:row>9</xdr:row>
      <xdr:rowOff>114300</xdr:rowOff>
    </xdr:to>
    <xdr:pic>
      <xdr:nvPicPr>
        <xdr:cNvPr id="8" name="Grafik 2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085975"/>
          <a:ext cx="95250" cy="104775"/>
        </a:xfrm>
        <a:prstGeom prst="rect">
          <a:avLst/>
        </a:prstGeom>
        <a:noFill/>
        <a:ln w="9525">
          <a:noFill/>
          <a:miter lim="800000"/>
          <a:headEnd/>
          <a:tailEnd/>
        </a:ln>
      </xdr:spPr>
    </xdr:pic>
    <xdr:clientData/>
  </xdr:twoCellAnchor>
  <xdr:twoCellAnchor editAs="oneCell">
    <xdr:from>
      <xdr:col>3</xdr:col>
      <xdr:colOff>0</xdr:colOff>
      <xdr:row>10</xdr:row>
      <xdr:rowOff>0</xdr:rowOff>
    </xdr:from>
    <xdr:to>
      <xdr:col>3</xdr:col>
      <xdr:colOff>95250</xdr:colOff>
      <xdr:row>10</xdr:row>
      <xdr:rowOff>104775</xdr:rowOff>
    </xdr:to>
    <xdr:pic>
      <xdr:nvPicPr>
        <xdr:cNvPr id="9" name="Grafik 2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286000"/>
          <a:ext cx="95250" cy="104775"/>
        </a:xfrm>
        <a:prstGeom prst="rect">
          <a:avLst/>
        </a:prstGeom>
        <a:noFill/>
        <a:ln w="9525">
          <a:noFill/>
          <a:miter lim="800000"/>
          <a:headEnd/>
          <a:tailEnd/>
        </a:ln>
      </xdr:spPr>
    </xdr:pic>
    <xdr:clientData/>
  </xdr:twoCellAnchor>
  <xdr:twoCellAnchor editAs="oneCell">
    <xdr:from>
      <xdr:col>3</xdr:col>
      <xdr:colOff>0</xdr:colOff>
      <xdr:row>11</xdr:row>
      <xdr:rowOff>0</xdr:rowOff>
    </xdr:from>
    <xdr:to>
      <xdr:col>3</xdr:col>
      <xdr:colOff>95250</xdr:colOff>
      <xdr:row>11</xdr:row>
      <xdr:rowOff>114300</xdr:rowOff>
    </xdr:to>
    <xdr:pic>
      <xdr:nvPicPr>
        <xdr:cNvPr id="10" name="Grafik 2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486025"/>
          <a:ext cx="95250" cy="104775"/>
        </a:xfrm>
        <a:prstGeom prst="rect">
          <a:avLst/>
        </a:prstGeom>
        <a:noFill/>
        <a:ln w="9525">
          <a:noFill/>
          <a:miter lim="800000"/>
          <a:headEnd/>
          <a:tailEnd/>
        </a:ln>
      </xdr:spPr>
    </xdr:pic>
    <xdr:clientData/>
  </xdr:twoCellAnchor>
  <xdr:twoCellAnchor editAs="oneCell">
    <xdr:from>
      <xdr:col>3</xdr:col>
      <xdr:colOff>0</xdr:colOff>
      <xdr:row>12</xdr:row>
      <xdr:rowOff>0</xdr:rowOff>
    </xdr:from>
    <xdr:to>
      <xdr:col>3</xdr:col>
      <xdr:colOff>95250</xdr:colOff>
      <xdr:row>12</xdr:row>
      <xdr:rowOff>104775</xdr:rowOff>
    </xdr:to>
    <xdr:pic>
      <xdr:nvPicPr>
        <xdr:cNvPr id="11" name="Grafik 2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686050"/>
          <a:ext cx="95250" cy="104775"/>
        </a:xfrm>
        <a:prstGeom prst="rect">
          <a:avLst/>
        </a:prstGeom>
        <a:noFill/>
        <a:ln w="9525">
          <a:noFill/>
          <a:miter lim="800000"/>
          <a:headEnd/>
          <a:tailEnd/>
        </a:ln>
      </xdr:spPr>
    </xdr:pic>
    <xdr:clientData/>
  </xdr:twoCellAnchor>
  <xdr:twoCellAnchor editAs="oneCell">
    <xdr:from>
      <xdr:col>3</xdr:col>
      <xdr:colOff>0</xdr:colOff>
      <xdr:row>13</xdr:row>
      <xdr:rowOff>0</xdr:rowOff>
    </xdr:from>
    <xdr:to>
      <xdr:col>3</xdr:col>
      <xdr:colOff>95250</xdr:colOff>
      <xdr:row>13</xdr:row>
      <xdr:rowOff>114300</xdr:rowOff>
    </xdr:to>
    <xdr:pic>
      <xdr:nvPicPr>
        <xdr:cNvPr id="12" name="Grafik 2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886075"/>
          <a:ext cx="95250" cy="104775"/>
        </a:xfrm>
        <a:prstGeom prst="rect">
          <a:avLst/>
        </a:prstGeom>
        <a:noFill/>
        <a:ln w="9525">
          <a:noFill/>
          <a:miter lim="800000"/>
          <a:headEnd/>
          <a:tailEnd/>
        </a:ln>
      </xdr:spPr>
    </xdr:pic>
    <xdr:clientData/>
  </xdr:twoCellAnchor>
  <xdr:twoCellAnchor editAs="oneCell">
    <xdr:from>
      <xdr:col>3</xdr:col>
      <xdr:colOff>0</xdr:colOff>
      <xdr:row>14</xdr:row>
      <xdr:rowOff>0</xdr:rowOff>
    </xdr:from>
    <xdr:to>
      <xdr:col>3</xdr:col>
      <xdr:colOff>95250</xdr:colOff>
      <xdr:row>14</xdr:row>
      <xdr:rowOff>104775</xdr:rowOff>
    </xdr:to>
    <xdr:pic>
      <xdr:nvPicPr>
        <xdr:cNvPr id="13" name="Grafik 2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086100"/>
          <a:ext cx="95250" cy="104775"/>
        </a:xfrm>
        <a:prstGeom prst="rect">
          <a:avLst/>
        </a:prstGeom>
        <a:noFill/>
        <a:ln w="9525">
          <a:noFill/>
          <a:miter lim="800000"/>
          <a:headEnd/>
          <a:tailEnd/>
        </a:ln>
      </xdr:spPr>
    </xdr:pic>
    <xdr:clientData/>
  </xdr:twoCellAnchor>
  <xdr:twoCellAnchor editAs="oneCell">
    <xdr:from>
      <xdr:col>3</xdr:col>
      <xdr:colOff>0</xdr:colOff>
      <xdr:row>15</xdr:row>
      <xdr:rowOff>0</xdr:rowOff>
    </xdr:from>
    <xdr:to>
      <xdr:col>3</xdr:col>
      <xdr:colOff>95250</xdr:colOff>
      <xdr:row>15</xdr:row>
      <xdr:rowOff>114300</xdr:rowOff>
    </xdr:to>
    <xdr:pic>
      <xdr:nvPicPr>
        <xdr:cNvPr id="14" name="Grafik 2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286125"/>
          <a:ext cx="95250" cy="104775"/>
        </a:xfrm>
        <a:prstGeom prst="rect">
          <a:avLst/>
        </a:prstGeom>
        <a:noFill/>
        <a:ln w="9525">
          <a:noFill/>
          <a:miter lim="800000"/>
          <a:headEnd/>
          <a:tailEnd/>
        </a:ln>
      </xdr:spPr>
    </xdr:pic>
    <xdr:clientData/>
  </xdr:twoCellAnchor>
  <xdr:twoCellAnchor editAs="oneCell">
    <xdr:from>
      <xdr:col>3</xdr:col>
      <xdr:colOff>0</xdr:colOff>
      <xdr:row>16</xdr:row>
      <xdr:rowOff>0</xdr:rowOff>
    </xdr:from>
    <xdr:to>
      <xdr:col>3</xdr:col>
      <xdr:colOff>95250</xdr:colOff>
      <xdr:row>16</xdr:row>
      <xdr:rowOff>104775</xdr:rowOff>
    </xdr:to>
    <xdr:pic>
      <xdr:nvPicPr>
        <xdr:cNvPr id="15" name="Grafik 2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486150"/>
          <a:ext cx="95250" cy="104775"/>
        </a:xfrm>
        <a:prstGeom prst="rect">
          <a:avLst/>
        </a:prstGeom>
        <a:noFill/>
        <a:ln w="9525">
          <a:noFill/>
          <a:miter lim="800000"/>
          <a:headEnd/>
          <a:tailEnd/>
        </a:ln>
      </xdr:spPr>
    </xdr:pic>
    <xdr:clientData/>
  </xdr:twoCellAnchor>
  <xdr:twoCellAnchor editAs="oneCell">
    <xdr:from>
      <xdr:col>3</xdr:col>
      <xdr:colOff>0</xdr:colOff>
      <xdr:row>17</xdr:row>
      <xdr:rowOff>0</xdr:rowOff>
    </xdr:from>
    <xdr:to>
      <xdr:col>3</xdr:col>
      <xdr:colOff>95250</xdr:colOff>
      <xdr:row>17</xdr:row>
      <xdr:rowOff>114300</xdr:rowOff>
    </xdr:to>
    <xdr:pic>
      <xdr:nvPicPr>
        <xdr:cNvPr id="16" name="Grafik 3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686175"/>
          <a:ext cx="95250" cy="104775"/>
        </a:xfrm>
        <a:prstGeom prst="rect">
          <a:avLst/>
        </a:prstGeom>
        <a:noFill/>
        <a:ln w="9525">
          <a:noFill/>
          <a:miter lim="800000"/>
          <a:headEnd/>
          <a:tailEnd/>
        </a:ln>
      </xdr:spPr>
    </xdr:pic>
    <xdr:clientData/>
  </xdr:twoCellAnchor>
  <xdr:twoCellAnchor editAs="oneCell">
    <xdr:from>
      <xdr:col>3</xdr:col>
      <xdr:colOff>0</xdr:colOff>
      <xdr:row>18</xdr:row>
      <xdr:rowOff>0</xdr:rowOff>
    </xdr:from>
    <xdr:to>
      <xdr:col>3</xdr:col>
      <xdr:colOff>95250</xdr:colOff>
      <xdr:row>18</xdr:row>
      <xdr:rowOff>104775</xdr:rowOff>
    </xdr:to>
    <xdr:pic>
      <xdr:nvPicPr>
        <xdr:cNvPr id="17" name="Grafik 3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886200"/>
          <a:ext cx="95250" cy="104775"/>
        </a:xfrm>
        <a:prstGeom prst="rect">
          <a:avLst/>
        </a:prstGeom>
        <a:noFill/>
        <a:ln w="9525">
          <a:noFill/>
          <a:miter lim="800000"/>
          <a:headEnd/>
          <a:tailEnd/>
        </a:ln>
      </xdr:spPr>
    </xdr:pic>
    <xdr:clientData/>
  </xdr:twoCellAnchor>
  <xdr:twoCellAnchor editAs="oneCell">
    <xdr:from>
      <xdr:col>3</xdr:col>
      <xdr:colOff>0</xdr:colOff>
      <xdr:row>19</xdr:row>
      <xdr:rowOff>0</xdr:rowOff>
    </xdr:from>
    <xdr:to>
      <xdr:col>3</xdr:col>
      <xdr:colOff>95250</xdr:colOff>
      <xdr:row>19</xdr:row>
      <xdr:rowOff>114300</xdr:rowOff>
    </xdr:to>
    <xdr:pic>
      <xdr:nvPicPr>
        <xdr:cNvPr id="18" name="Grafik 3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086225"/>
          <a:ext cx="95250" cy="104775"/>
        </a:xfrm>
        <a:prstGeom prst="rect">
          <a:avLst/>
        </a:prstGeom>
        <a:noFill/>
        <a:ln w="9525">
          <a:noFill/>
          <a:miter lim="800000"/>
          <a:headEnd/>
          <a:tailEnd/>
        </a:ln>
      </xdr:spPr>
    </xdr:pic>
    <xdr:clientData/>
  </xdr:twoCellAnchor>
  <xdr:twoCellAnchor editAs="oneCell">
    <xdr:from>
      <xdr:col>3</xdr:col>
      <xdr:colOff>0</xdr:colOff>
      <xdr:row>20</xdr:row>
      <xdr:rowOff>0</xdr:rowOff>
    </xdr:from>
    <xdr:to>
      <xdr:col>3</xdr:col>
      <xdr:colOff>95250</xdr:colOff>
      <xdr:row>20</xdr:row>
      <xdr:rowOff>104775</xdr:rowOff>
    </xdr:to>
    <xdr:pic>
      <xdr:nvPicPr>
        <xdr:cNvPr id="19" name="Grafik 3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286250"/>
          <a:ext cx="95250" cy="104775"/>
        </a:xfrm>
        <a:prstGeom prst="rect">
          <a:avLst/>
        </a:prstGeom>
        <a:noFill/>
        <a:ln w="9525">
          <a:noFill/>
          <a:miter lim="800000"/>
          <a:headEnd/>
          <a:tailEnd/>
        </a:ln>
      </xdr:spPr>
    </xdr:pic>
    <xdr:clientData/>
  </xdr:twoCellAnchor>
  <xdr:twoCellAnchor editAs="oneCell">
    <xdr:from>
      <xdr:col>3</xdr:col>
      <xdr:colOff>0</xdr:colOff>
      <xdr:row>21</xdr:row>
      <xdr:rowOff>0</xdr:rowOff>
    </xdr:from>
    <xdr:to>
      <xdr:col>3</xdr:col>
      <xdr:colOff>95250</xdr:colOff>
      <xdr:row>21</xdr:row>
      <xdr:rowOff>114300</xdr:rowOff>
    </xdr:to>
    <xdr:pic>
      <xdr:nvPicPr>
        <xdr:cNvPr id="20" name="Grafik 3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486275"/>
          <a:ext cx="95250" cy="104775"/>
        </a:xfrm>
        <a:prstGeom prst="rect">
          <a:avLst/>
        </a:prstGeom>
        <a:noFill/>
        <a:ln w="9525">
          <a:noFill/>
          <a:miter lim="800000"/>
          <a:headEnd/>
          <a:tailEnd/>
        </a:ln>
      </xdr:spPr>
    </xdr:pic>
    <xdr:clientData/>
  </xdr:twoCellAnchor>
  <xdr:twoCellAnchor editAs="oneCell">
    <xdr:from>
      <xdr:col>3</xdr:col>
      <xdr:colOff>0</xdr:colOff>
      <xdr:row>22</xdr:row>
      <xdr:rowOff>0</xdr:rowOff>
    </xdr:from>
    <xdr:to>
      <xdr:col>3</xdr:col>
      <xdr:colOff>95250</xdr:colOff>
      <xdr:row>22</xdr:row>
      <xdr:rowOff>104775</xdr:rowOff>
    </xdr:to>
    <xdr:pic>
      <xdr:nvPicPr>
        <xdr:cNvPr id="21" name="Grafik 3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686300"/>
          <a:ext cx="95250" cy="104775"/>
        </a:xfrm>
        <a:prstGeom prst="rect">
          <a:avLst/>
        </a:prstGeom>
        <a:noFill/>
        <a:ln w="9525">
          <a:noFill/>
          <a:miter lim="800000"/>
          <a:headEnd/>
          <a:tailEnd/>
        </a:ln>
      </xdr:spPr>
    </xdr:pic>
    <xdr:clientData/>
  </xdr:twoCellAnchor>
  <xdr:twoCellAnchor editAs="oneCell">
    <xdr:from>
      <xdr:col>3</xdr:col>
      <xdr:colOff>0</xdr:colOff>
      <xdr:row>23</xdr:row>
      <xdr:rowOff>0</xdr:rowOff>
    </xdr:from>
    <xdr:to>
      <xdr:col>3</xdr:col>
      <xdr:colOff>95250</xdr:colOff>
      <xdr:row>23</xdr:row>
      <xdr:rowOff>114300</xdr:rowOff>
    </xdr:to>
    <xdr:pic>
      <xdr:nvPicPr>
        <xdr:cNvPr id="22" name="Grafik 3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886325"/>
          <a:ext cx="95250" cy="104775"/>
        </a:xfrm>
        <a:prstGeom prst="rect">
          <a:avLst/>
        </a:prstGeom>
        <a:noFill/>
        <a:ln w="9525">
          <a:noFill/>
          <a:miter lim="800000"/>
          <a:headEnd/>
          <a:tailEnd/>
        </a:ln>
      </xdr:spPr>
    </xdr:pic>
    <xdr:clientData/>
  </xdr:twoCellAnchor>
  <xdr:twoCellAnchor editAs="oneCell">
    <xdr:from>
      <xdr:col>3</xdr:col>
      <xdr:colOff>0</xdr:colOff>
      <xdr:row>24</xdr:row>
      <xdr:rowOff>0</xdr:rowOff>
    </xdr:from>
    <xdr:to>
      <xdr:col>3</xdr:col>
      <xdr:colOff>95250</xdr:colOff>
      <xdr:row>24</xdr:row>
      <xdr:rowOff>104775</xdr:rowOff>
    </xdr:to>
    <xdr:pic>
      <xdr:nvPicPr>
        <xdr:cNvPr id="23" name="Grafik 3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086350"/>
          <a:ext cx="95250" cy="104775"/>
        </a:xfrm>
        <a:prstGeom prst="rect">
          <a:avLst/>
        </a:prstGeom>
        <a:noFill/>
        <a:ln w="9525">
          <a:noFill/>
          <a:miter lim="800000"/>
          <a:headEnd/>
          <a:tailEnd/>
        </a:ln>
      </xdr:spPr>
    </xdr:pic>
    <xdr:clientData/>
  </xdr:twoCellAnchor>
  <xdr:twoCellAnchor editAs="oneCell">
    <xdr:from>
      <xdr:col>3</xdr:col>
      <xdr:colOff>0</xdr:colOff>
      <xdr:row>25</xdr:row>
      <xdr:rowOff>0</xdr:rowOff>
    </xdr:from>
    <xdr:to>
      <xdr:col>3</xdr:col>
      <xdr:colOff>95250</xdr:colOff>
      <xdr:row>25</xdr:row>
      <xdr:rowOff>114300</xdr:rowOff>
    </xdr:to>
    <xdr:pic>
      <xdr:nvPicPr>
        <xdr:cNvPr id="24" name="Grafik 3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286375"/>
          <a:ext cx="95250" cy="104775"/>
        </a:xfrm>
        <a:prstGeom prst="rect">
          <a:avLst/>
        </a:prstGeom>
        <a:noFill/>
        <a:ln w="9525">
          <a:noFill/>
          <a:miter lim="800000"/>
          <a:headEnd/>
          <a:tailEnd/>
        </a:ln>
      </xdr:spPr>
    </xdr:pic>
    <xdr:clientData/>
  </xdr:twoCellAnchor>
  <xdr:twoCellAnchor editAs="oneCell">
    <xdr:from>
      <xdr:col>3</xdr:col>
      <xdr:colOff>0</xdr:colOff>
      <xdr:row>26</xdr:row>
      <xdr:rowOff>0</xdr:rowOff>
    </xdr:from>
    <xdr:to>
      <xdr:col>3</xdr:col>
      <xdr:colOff>95250</xdr:colOff>
      <xdr:row>26</xdr:row>
      <xdr:rowOff>104775</xdr:rowOff>
    </xdr:to>
    <xdr:pic>
      <xdr:nvPicPr>
        <xdr:cNvPr id="25" name="Grafik 3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486400"/>
          <a:ext cx="95250" cy="104775"/>
        </a:xfrm>
        <a:prstGeom prst="rect">
          <a:avLst/>
        </a:prstGeom>
        <a:noFill/>
        <a:ln w="9525">
          <a:noFill/>
          <a:miter lim="800000"/>
          <a:headEnd/>
          <a:tailEnd/>
        </a:ln>
      </xdr:spPr>
    </xdr:pic>
    <xdr:clientData/>
  </xdr:twoCellAnchor>
  <xdr:twoCellAnchor editAs="oneCell">
    <xdr:from>
      <xdr:col>3</xdr:col>
      <xdr:colOff>0</xdr:colOff>
      <xdr:row>27</xdr:row>
      <xdr:rowOff>0</xdr:rowOff>
    </xdr:from>
    <xdr:to>
      <xdr:col>3</xdr:col>
      <xdr:colOff>95250</xdr:colOff>
      <xdr:row>27</xdr:row>
      <xdr:rowOff>114300</xdr:rowOff>
    </xdr:to>
    <xdr:pic>
      <xdr:nvPicPr>
        <xdr:cNvPr id="26" name="Grafik 4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686425"/>
          <a:ext cx="95250" cy="104775"/>
        </a:xfrm>
        <a:prstGeom prst="rect">
          <a:avLst/>
        </a:prstGeom>
        <a:noFill/>
        <a:ln w="9525">
          <a:noFill/>
          <a:miter lim="800000"/>
          <a:headEnd/>
          <a:tailEnd/>
        </a:ln>
      </xdr:spPr>
    </xdr:pic>
    <xdr:clientData/>
  </xdr:twoCellAnchor>
  <xdr:twoCellAnchor editAs="oneCell">
    <xdr:from>
      <xdr:col>3</xdr:col>
      <xdr:colOff>0</xdr:colOff>
      <xdr:row>28</xdr:row>
      <xdr:rowOff>0</xdr:rowOff>
    </xdr:from>
    <xdr:to>
      <xdr:col>3</xdr:col>
      <xdr:colOff>95250</xdr:colOff>
      <xdr:row>28</xdr:row>
      <xdr:rowOff>104775</xdr:rowOff>
    </xdr:to>
    <xdr:pic>
      <xdr:nvPicPr>
        <xdr:cNvPr id="27" name="Grafik 4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886450"/>
          <a:ext cx="95250" cy="104775"/>
        </a:xfrm>
        <a:prstGeom prst="rect">
          <a:avLst/>
        </a:prstGeom>
        <a:noFill/>
        <a:ln w="9525">
          <a:noFill/>
          <a:miter lim="800000"/>
          <a:headEnd/>
          <a:tailEnd/>
        </a:ln>
      </xdr:spPr>
    </xdr:pic>
    <xdr:clientData/>
  </xdr:twoCellAnchor>
  <xdr:twoCellAnchor editAs="oneCell">
    <xdr:from>
      <xdr:col>3</xdr:col>
      <xdr:colOff>0</xdr:colOff>
      <xdr:row>29</xdr:row>
      <xdr:rowOff>0</xdr:rowOff>
    </xdr:from>
    <xdr:to>
      <xdr:col>3</xdr:col>
      <xdr:colOff>95250</xdr:colOff>
      <xdr:row>29</xdr:row>
      <xdr:rowOff>114300</xdr:rowOff>
    </xdr:to>
    <xdr:pic>
      <xdr:nvPicPr>
        <xdr:cNvPr id="28" name="Grafik 4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086475"/>
          <a:ext cx="95250" cy="104775"/>
        </a:xfrm>
        <a:prstGeom prst="rect">
          <a:avLst/>
        </a:prstGeom>
        <a:noFill/>
        <a:ln w="9525">
          <a:noFill/>
          <a:miter lim="800000"/>
          <a:headEnd/>
          <a:tailEnd/>
        </a:ln>
      </xdr:spPr>
    </xdr:pic>
    <xdr:clientData/>
  </xdr:twoCellAnchor>
  <xdr:twoCellAnchor editAs="oneCell">
    <xdr:from>
      <xdr:col>3</xdr:col>
      <xdr:colOff>0</xdr:colOff>
      <xdr:row>30</xdr:row>
      <xdr:rowOff>0</xdr:rowOff>
    </xdr:from>
    <xdr:to>
      <xdr:col>3</xdr:col>
      <xdr:colOff>95250</xdr:colOff>
      <xdr:row>30</xdr:row>
      <xdr:rowOff>104775</xdr:rowOff>
    </xdr:to>
    <xdr:pic>
      <xdr:nvPicPr>
        <xdr:cNvPr id="29" name="Grafik 4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286500"/>
          <a:ext cx="95250" cy="104775"/>
        </a:xfrm>
        <a:prstGeom prst="rect">
          <a:avLst/>
        </a:prstGeom>
        <a:noFill/>
        <a:ln w="9525">
          <a:noFill/>
          <a:miter lim="800000"/>
          <a:headEnd/>
          <a:tailEnd/>
        </a:ln>
      </xdr:spPr>
    </xdr:pic>
    <xdr:clientData/>
  </xdr:twoCellAnchor>
  <xdr:twoCellAnchor editAs="oneCell">
    <xdr:from>
      <xdr:col>3</xdr:col>
      <xdr:colOff>0</xdr:colOff>
      <xdr:row>31</xdr:row>
      <xdr:rowOff>0</xdr:rowOff>
    </xdr:from>
    <xdr:to>
      <xdr:col>3</xdr:col>
      <xdr:colOff>95250</xdr:colOff>
      <xdr:row>31</xdr:row>
      <xdr:rowOff>114300</xdr:rowOff>
    </xdr:to>
    <xdr:pic>
      <xdr:nvPicPr>
        <xdr:cNvPr id="30" name="Grafik 4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486525"/>
          <a:ext cx="95250" cy="104775"/>
        </a:xfrm>
        <a:prstGeom prst="rect">
          <a:avLst/>
        </a:prstGeom>
        <a:noFill/>
        <a:ln w="9525">
          <a:noFill/>
          <a:miter lim="800000"/>
          <a:headEnd/>
          <a:tailEnd/>
        </a:ln>
      </xdr:spPr>
    </xdr:pic>
    <xdr:clientData/>
  </xdr:twoCellAnchor>
  <xdr:twoCellAnchor editAs="oneCell">
    <xdr:from>
      <xdr:col>3</xdr:col>
      <xdr:colOff>0</xdr:colOff>
      <xdr:row>32</xdr:row>
      <xdr:rowOff>0</xdr:rowOff>
    </xdr:from>
    <xdr:to>
      <xdr:col>3</xdr:col>
      <xdr:colOff>95250</xdr:colOff>
      <xdr:row>32</xdr:row>
      <xdr:rowOff>104775</xdr:rowOff>
    </xdr:to>
    <xdr:pic>
      <xdr:nvPicPr>
        <xdr:cNvPr id="31" name="Grafik 4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686550"/>
          <a:ext cx="95250" cy="104775"/>
        </a:xfrm>
        <a:prstGeom prst="rect">
          <a:avLst/>
        </a:prstGeom>
        <a:noFill/>
        <a:ln w="9525">
          <a:noFill/>
          <a:miter lim="800000"/>
          <a:headEnd/>
          <a:tailEnd/>
        </a:ln>
      </xdr:spPr>
    </xdr:pic>
    <xdr:clientData/>
  </xdr:twoCellAnchor>
  <xdr:twoCellAnchor editAs="oneCell">
    <xdr:from>
      <xdr:col>3</xdr:col>
      <xdr:colOff>0</xdr:colOff>
      <xdr:row>33</xdr:row>
      <xdr:rowOff>0</xdr:rowOff>
    </xdr:from>
    <xdr:to>
      <xdr:col>3</xdr:col>
      <xdr:colOff>95250</xdr:colOff>
      <xdr:row>33</xdr:row>
      <xdr:rowOff>114300</xdr:rowOff>
    </xdr:to>
    <xdr:pic>
      <xdr:nvPicPr>
        <xdr:cNvPr id="32" name="Grafik 4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886575"/>
          <a:ext cx="95250" cy="104775"/>
        </a:xfrm>
        <a:prstGeom prst="rect">
          <a:avLst/>
        </a:prstGeom>
        <a:noFill/>
        <a:ln w="9525">
          <a:noFill/>
          <a:miter lim="800000"/>
          <a:headEnd/>
          <a:tailEnd/>
        </a:ln>
      </xdr:spPr>
    </xdr:pic>
    <xdr:clientData/>
  </xdr:twoCellAnchor>
  <xdr:twoCellAnchor editAs="oneCell">
    <xdr:from>
      <xdr:col>3</xdr:col>
      <xdr:colOff>0</xdr:colOff>
      <xdr:row>34</xdr:row>
      <xdr:rowOff>0</xdr:rowOff>
    </xdr:from>
    <xdr:to>
      <xdr:col>3</xdr:col>
      <xdr:colOff>95250</xdr:colOff>
      <xdr:row>34</xdr:row>
      <xdr:rowOff>104775</xdr:rowOff>
    </xdr:to>
    <xdr:pic>
      <xdr:nvPicPr>
        <xdr:cNvPr id="33" name="Grafik 4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086600"/>
          <a:ext cx="95250" cy="104775"/>
        </a:xfrm>
        <a:prstGeom prst="rect">
          <a:avLst/>
        </a:prstGeom>
        <a:noFill/>
        <a:ln w="9525">
          <a:noFill/>
          <a:miter lim="800000"/>
          <a:headEnd/>
          <a:tailEnd/>
        </a:ln>
      </xdr:spPr>
    </xdr:pic>
    <xdr:clientData/>
  </xdr:twoCellAnchor>
  <xdr:twoCellAnchor editAs="oneCell">
    <xdr:from>
      <xdr:col>3</xdr:col>
      <xdr:colOff>0</xdr:colOff>
      <xdr:row>35</xdr:row>
      <xdr:rowOff>0</xdr:rowOff>
    </xdr:from>
    <xdr:to>
      <xdr:col>3</xdr:col>
      <xdr:colOff>95250</xdr:colOff>
      <xdr:row>35</xdr:row>
      <xdr:rowOff>114300</xdr:rowOff>
    </xdr:to>
    <xdr:pic>
      <xdr:nvPicPr>
        <xdr:cNvPr id="34" name="Grafik 4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286625"/>
          <a:ext cx="95250" cy="104775"/>
        </a:xfrm>
        <a:prstGeom prst="rect">
          <a:avLst/>
        </a:prstGeom>
        <a:noFill/>
        <a:ln w="9525">
          <a:noFill/>
          <a:miter lim="800000"/>
          <a:headEnd/>
          <a:tailEnd/>
        </a:ln>
      </xdr:spPr>
    </xdr:pic>
    <xdr:clientData/>
  </xdr:twoCellAnchor>
  <xdr:twoCellAnchor editAs="oneCell">
    <xdr:from>
      <xdr:col>3</xdr:col>
      <xdr:colOff>0</xdr:colOff>
      <xdr:row>36</xdr:row>
      <xdr:rowOff>0</xdr:rowOff>
    </xdr:from>
    <xdr:to>
      <xdr:col>3</xdr:col>
      <xdr:colOff>95250</xdr:colOff>
      <xdr:row>36</xdr:row>
      <xdr:rowOff>104775</xdr:rowOff>
    </xdr:to>
    <xdr:pic>
      <xdr:nvPicPr>
        <xdr:cNvPr id="35" name="Grafik 4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486650"/>
          <a:ext cx="95250" cy="104775"/>
        </a:xfrm>
        <a:prstGeom prst="rect">
          <a:avLst/>
        </a:prstGeom>
        <a:noFill/>
        <a:ln w="9525">
          <a:noFill/>
          <a:miter lim="800000"/>
          <a:headEnd/>
          <a:tailEnd/>
        </a:ln>
      </xdr:spPr>
    </xdr:pic>
    <xdr:clientData/>
  </xdr:twoCellAnchor>
  <xdr:twoCellAnchor editAs="oneCell">
    <xdr:from>
      <xdr:col>3</xdr:col>
      <xdr:colOff>0</xdr:colOff>
      <xdr:row>37</xdr:row>
      <xdr:rowOff>0</xdr:rowOff>
    </xdr:from>
    <xdr:to>
      <xdr:col>3</xdr:col>
      <xdr:colOff>95250</xdr:colOff>
      <xdr:row>37</xdr:row>
      <xdr:rowOff>114300</xdr:rowOff>
    </xdr:to>
    <xdr:pic>
      <xdr:nvPicPr>
        <xdr:cNvPr id="36" name="Grafik 5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686675"/>
          <a:ext cx="95250" cy="104775"/>
        </a:xfrm>
        <a:prstGeom prst="rect">
          <a:avLst/>
        </a:prstGeom>
        <a:noFill/>
        <a:ln w="9525">
          <a:noFill/>
          <a:miter lim="800000"/>
          <a:headEnd/>
          <a:tailEnd/>
        </a:ln>
      </xdr:spPr>
    </xdr:pic>
    <xdr:clientData/>
  </xdr:twoCellAnchor>
  <xdr:twoCellAnchor editAs="oneCell">
    <xdr:from>
      <xdr:col>3</xdr:col>
      <xdr:colOff>0</xdr:colOff>
      <xdr:row>38</xdr:row>
      <xdr:rowOff>0</xdr:rowOff>
    </xdr:from>
    <xdr:to>
      <xdr:col>3</xdr:col>
      <xdr:colOff>95250</xdr:colOff>
      <xdr:row>38</xdr:row>
      <xdr:rowOff>104775</xdr:rowOff>
    </xdr:to>
    <xdr:pic>
      <xdr:nvPicPr>
        <xdr:cNvPr id="37" name="Grafik 5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886700"/>
          <a:ext cx="95250" cy="104775"/>
        </a:xfrm>
        <a:prstGeom prst="rect">
          <a:avLst/>
        </a:prstGeom>
        <a:noFill/>
        <a:ln w="9525">
          <a:noFill/>
          <a:miter lim="800000"/>
          <a:headEnd/>
          <a:tailEnd/>
        </a:ln>
      </xdr:spPr>
    </xdr:pic>
    <xdr:clientData/>
  </xdr:twoCellAnchor>
  <xdr:twoCellAnchor editAs="oneCell">
    <xdr:from>
      <xdr:col>3</xdr:col>
      <xdr:colOff>0</xdr:colOff>
      <xdr:row>39</xdr:row>
      <xdr:rowOff>0</xdr:rowOff>
    </xdr:from>
    <xdr:to>
      <xdr:col>3</xdr:col>
      <xdr:colOff>95250</xdr:colOff>
      <xdr:row>39</xdr:row>
      <xdr:rowOff>114300</xdr:rowOff>
    </xdr:to>
    <xdr:pic>
      <xdr:nvPicPr>
        <xdr:cNvPr id="38" name="Grafik 5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8086725"/>
          <a:ext cx="95250" cy="104775"/>
        </a:xfrm>
        <a:prstGeom prst="rect">
          <a:avLst/>
        </a:prstGeom>
        <a:noFill/>
        <a:ln w="9525">
          <a:noFill/>
          <a:miter lim="800000"/>
          <a:headEnd/>
          <a:tailEnd/>
        </a:ln>
      </xdr:spPr>
    </xdr:pic>
    <xdr:clientData/>
  </xdr:twoCellAnchor>
  <xdr:twoCellAnchor editAs="oneCell">
    <xdr:from>
      <xdr:col>3</xdr:col>
      <xdr:colOff>0</xdr:colOff>
      <xdr:row>40</xdr:row>
      <xdr:rowOff>0</xdr:rowOff>
    </xdr:from>
    <xdr:to>
      <xdr:col>3</xdr:col>
      <xdr:colOff>95250</xdr:colOff>
      <xdr:row>40</xdr:row>
      <xdr:rowOff>104775</xdr:rowOff>
    </xdr:to>
    <xdr:pic>
      <xdr:nvPicPr>
        <xdr:cNvPr id="39" name="Grafik 5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8286750"/>
          <a:ext cx="95250" cy="104775"/>
        </a:xfrm>
        <a:prstGeom prst="rect">
          <a:avLst/>
        </a:prstGeom>
        <a:noFill/>
        <a:ln w="9525">
          <a:noFill/>
          <a:miter lim="800000"/>
          <a:headEnd/>
          <a:tailEnd/>
        </a:ln>
      </xdr:spPr>
    </xdr:pic>
    <xdr:clientData/>
  </xdr:twoCellAnchor>
  <xdr:twoCellAnchor editAs="oneCell">
    <xdr:from>
      <xdr:col>3</xdr:col>
      <xdr:colOff>0</xdr:colOff>
      <xdr:row>41</xdr:row>
      <xdr:rowOff>0</xdr:rowOff>
    </xdr:from>
    <xdr:to>
      <xdr:col>3</xdr:col>
      <xdr:colOff>95250</xdr:colOff>
      <xdr:row>41</xdr:row>
      <xdr:rowOff>114300</xdr:rowOff>
    </xdr:to>
    <xdr:pic>
      <xdr:nvPicPr>
        <xdr:cNvPr id="40" name="Grafik 5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8486775"/>
          <a:ext cx="95250" cy="104775"/>
        </a:xfrm>
        <a:prstGeom prst="rect">
          <a:avLst/>
        </a:prstGeom>
        <a:noFill/>
        <a:ln w="9525">
          <a:noFill/>
          <a:miter lim="800000"/>
          <a:headEnd/>
          <a:tailEnd/>
        </a:ln>
      </xdr:spPr>
    </xdr:pic>
    <xdr:clientData/>
  </xdr:twoCellAnchor>
  <xdr:twoCellAnchor editAs="oneCell">
    <xdr:from>
      <xdr:col>3</xdr:col>
      <xdr:colOff>0</xdr:colOff>
      <xdr:row>42</xdr:row>
      <xdr:rowOff>0</xdr:rowOff>
    </xdr:from>
    <xdr:to>
      <xdr:col>3</xdr:col>
      <xdr:colOff>95250</xdr:colOff>
      <xdr:row>42</xdr:row>
      <xdr:rowOff>104775</xdr:rowOff>
    </xdr:to>
    <xdr:pic>
      <xdr:nvPicPr>
        <xdr:cNvPr id="41" name="Grafik 5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8686800"/>
          <a:ext cx="95250" cy="104775"/>
        </a:xfrm>
        <a:prstGeom prst="rect">
          <a:avLst/>
        </a:prstGeom>
        <a:noFill/>
        <a:ln w="9525">
          <a:noFill/>
          <a:miter lim="800000"/>
          <a:headEnd/>
          <a:tailEnd/>
        </a:ln>
      </xdr:spPr>
    </xdr:pic>
    <xdr:clientData/>
  </xdr:twoCellAnchor>
  <xdr:twoCellAnchor editAs="oneCell">
    <xdr:from>
      <xdr:col>3</xdr:col>
      <xdr:colOff>0</xdr:colOff>
      <xdr:row>43</xdr:row>
      <xdr:rowOff>0</xdr:rowOff>
    </xdr:from>
    <xdr:to>
      <xdr:col>3</xdr:col>
      <xdr:colOff>95250</xdr:colOff>
      <xdr:row>43</xdr:row>
      <xdr:rowOff>114300</xdr:rowOff>
    </xdr:to>
    <xdr:pic>
      <xdr:nvPicPr>
        <xdr:cNvPr id="42" name="Grafik 5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8886825"/>
          <a:ext cx="95250" cy="104775"/>
        </a:xfrm>
        <a:prstGeom prst="rect">
          <a:avLst/>
        </a:prstGeom>
        <a:noFill/>
        <a:ln w="9525">
          <a:noFill/>
          <a:miter lim="800000"/>
          <a:headEnd/>
          <a:tailEnd/>
        </a:ln>
      </xdr:spPr>
    </xdr:pic>
    <xdr:clientData/>
  </xdr:twoCellAnchor>
  <xdr:twoCellAnchor editAs="oneCell">
    <xdr:from>
      <xdr:col>3</xdr:col>
      <xdr:colOff>0</xdr:colOff>
      <xdr:row>44</xdr:row>
      <xdr:rowOff>0</xdr:rowOff>
    </xdr:from>
    <xdr:to>
      <xdr:col>3</xdr:col>
      <xdr:colOff>95250</xdr:colOff>
      <xdr:row>44</xdr:row>
      <xdr:rowOff>104775</xdr:rowOff>
    </xdr:to>
    <xdr:pic>
      <xdr:nvPicPr>
        <xdr:cNvPr id="43" name="Grafik 5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9086850"/>
          <a:ext cx="95250" cy="104775"/>
        </a:xfrm>
        <a:prstGeom prst="rect">
          <a:avLst/>
        </a:prstGeom>
        <a:noFill/>
        <a:ln w="9525">
          <a:noFill/>
          <a:miter lim="800000"/>
          <a:headEnd/>
          <a:tailEnd/>
        </a:ln>
      </xdr:spPr>
    </xdr:pic>
    <xdr:clientData/>
  </xdr:twoCellAnchor>
  <xdr:twoCellAnchor editAs="oneCell">
    <xdr:from>
      <xdr:col>3</xdr:col>
      <xdr:colOff>0</xdr:colOff>
      <xdr:row>45</xdr:row>
      <xdr:rowOff>0</xdr:rowOff>
    </xdr:from>
    <xdr:to>
      <xdr:col>3</xdr:col>
      <xdr:colOff>95250</xdr:colOff>
      <xdr:row>45</xdr:row>
      <xdr:rowOff>114300</xdr:rowOff>
    </xdr:to>
    <xdr:pic>
      <xdr:nvPicPr>
        <xdr:cNvPr id="44" name="Grafik 5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9286875"/>
          <a:ext cx="95250" cy="104775"/>
        </a:xfrm>
        <a:prstGeom prst="rect">
          <a:avLst/>
        </a:prstGeom>
        <a:noFill/>
        <a:ln w="9525">
          <a:noFill/>
          <a:miter lim="800000"/>
          <a:headEnd/>
          <a:tailEnd/>
        </a:ln>
      </xdr:spPr>
    </xdr:pic>
    <xdr:clientData/>
  </xdr:twoCellAnchor>
  <xdr:twoCellAnchor editAs="oneCell">
    <xdr:from>
      <xdr:col>3</xdr:col>
      <xdr:colOff>0</xdr:colOff>
      <xdr:row>46</xdr:row>
      <xdr:rowOff>0</xdr:rowOff>
    </xdr:from>
    <xdr:to>
      <xdr:col>3</xdr:col>
      <xdr:colOff>95250</xdr:colOff>
      <xdr:row>46</xdr:row>
      <xdr:rowOff>104775</xdr:rowOff>
    </xdr:to>
    <xdr:pic>
      <xdr:nvPicPr>
        <xdr:cNvPr id="45" name="Grafik 5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9486900"/>
          <a:ext cx="95250" cy="104775"/>
        </a:xfrm>
        <a:prstGeom prst="rect">
          <a:avLst/>
        </a:prstGeom>
        <a:noFill/>
        <a:ln w="9525">
          <a:noFill/>
          <a:miter lim="800000"/>
          <a:headEnd/>
          <a:tailEnd/>
        </a:ln>
      </xdr:spPr>
    </xdr:pic>
    <xdr:clientData/>
  </xdr:twoCellAnchor>
  <xdr:twoCellAnchor editAs="oneCell">
    <xdr:from>
      <xdr:col>3</xdr:col>
      <xdr:colOff>0</xdr:colOff>
      <xdr:row>47</xdr:row>
      <xdr:rowOff>0</xdr:rowOff>
    </xdr:from>
    <xdr:to>
      <xdr:col>3</xdr:col>
      <xdr:colOff>95250</xdr:colOff>
      <xdr:row>47</xdr:row>
      <xdr:rowOff>114300</xdr:rowOff>
    </xdr:to>
    <xdr:pic>
      <xdr:nvPicPr>
        <xdr:cNvPr id="46" name="Grafik 6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9686925"/>
          <a:ext cx="95250" cy="104775"/>
        </a:xfrm>
        <a:prstGeom prst="rect">
          <a:avLst/>
        </a:prstGeom>
        <a:noFill/>
        <a:ln w="9525">
          <a:noFill/>
          <a:miter lim="800000"/>
          <a:headEnd/>
          <a:tailEnd/>
        </a:ln>
      </xdr:spPr>
    </xdr:pic>
    <xdr:clientData/>
  </xdr:twoCellAnchor>
  <xdr:twoCellAnchor editAs="oneCell">
    <xdr:from>
      <xdr:col>3</xdr:col>
      <xdr:colOff>0</xdr:colOff>
      <xdr:row>48</xdr:row>
      <xdr:rowOff>0</xdr:rowOff>
    </xdr:from>
    <xdr:to>
      <xdr:col>3</xdr:col>
      <xdr:colOff>95250</xdr:colOff>
      <xdr:row>48</xdr:row>
      <xdr:rowOff>104775</xdr:rowOff>
    </xdr:to>
    <xdr:pic>
      <xdr:nvPicPr>
        <xdr:cNvPr id="47" name="Grafik 6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9886950"/>
          <a:ext cx="95250" cy="104775"/>
        </a:xfrm>
        <a:prstGeom prst="rect">
          <a:avLst/>
        </a:prstGeom>
        <a:noFill/>
        <a:ln w="9525">
          <a:noFill/>
          <a:miter lim="800000"/>
          <a:headEnd/>
          <a:tailEnd/>
        </a:ln>
      </xdr:spPr>
    </xdr:pic>
    <xdr:clientData/>
  </xdr:twoCellAnchor>
  <xdr:twoCellAnchor editAs="oneCell">
    <xdr:from>
      <xdr:col>3</xdr:col>
      <xdr:colOff>0</xdr:colOff>
      <xdr:row>49</xdr:row>
      <xdr:rowOff>0</xdr:rowOff>
    </xdr:from>
    <xdr:to>
      <xdr:col>3</xdr:col>
      <xdr:colOff>95250</xdr:colOff>
      <xdr:row>49</xdr:row>
      <xdr:rowOff>114300</xdr:rowOff>
    </xdr:to>
    <xdr:pic>
      <xdr:nvPicPr>
        <xdr:cNvPr id="48" name="Grafik 6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0086975"/>
          <a:ext cx="95250" cy="104775"/>
        </a:xfrm>
        <a:prstGeom prst="rect">
          <a:avLst/>
        </a:prstGeom>
        <a:noFill/>
        <a:ln w="9525">
          <a:noFill/>
          <a:miter lim="800000"/>
          <a:headEnd/>
          <a:tailEnd/>
        </a:ln>
      </xdr:spPr>
    </xdr:pic>
    <xdr:clientData/>
  </xdr:twoCellAnchor>
  <xdr:twoCellAnchor editAs="oneCell">
    <xdr:from>
      <xdr:col>3</xdr:col>
      <xdr:colOff>0</xdr:colOff>
      <xdr:row>50</xdr:row>
      <xdr:rowOff>0</xdr:rowOff>
    </xdr:from>
    <xdr:to>
      <xdr:col>3</xdr:col>
      <xdr:colOff>95250</xdr:colOff>
      <xdr:row>50</xdr:row>
      <xdr:rowOff>104775</xdr:rowOff>
    </xdr:to>
    <xdr:pic>
      <xdr:nvPicPr>
        <xdr:cNvPr id="49" name="Grafik 6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0287000"/>
          <a:ext cx="95250" cy="104775"/>
        </a:xfrm>
        <a:prstGeom prst="rect">
          <a:avLst/>
        </a:prstGeom>
        <a:noFill/>
        <a:ln w="9525">
          <a:noFill/>
          <a:miter lim="800000"/>
          <a:headEnd/>
          <a:tailEnd/>
        </a:ln>
      </xdr:spPr>
    </xdr:pic>
    <xdr:clientData/>
  </xdr:twoCellAnchor>
  <xdr:twoCellAnchor editAs="oneCell">
    <xdr:from>
      <xdr:col>3</xdr:col>
      <xdr:colOff>0</xdr:colOff>
      <xdr:row>51</xdr:row>
      <xdr:rowOff>0</xdr:rowOff>
    </xdr:from>
    <xdr:to>
      <xdr:col>3</xdr:col>
      <xdr:colOff>95250</xdr:colOff>
      <xdr:row>51</xdr:row>
      <xdr:rowOff>114300</xdr:rowOff>
    </xdr:to>
    <xdr:pic>
      <xdr:nvPicPr>
        <xdr:cNvPr id="50" name="Grafik 6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0487025"/>
          <a:ext cx="95250" cy="104775"/>
        </a:xfrm>
        <a:prstGeom prst="rect">
          <a:avLst/>
        </a:prstGeom>
        <a:noFill/>
        <a:ln w="9525">
          <a:noFill/>
          <a:miter lim="800000"/>
          <a:headEnd/>
          <a:tailEnd/>
        </a:ln>
      </xdr:spPr>
    </xdr:pic>
    <xdr:clientData/>
  </xdr:twoCellAnchor>
  <xdr:twoCellAnchor editAs="oneCell">
    <xdr:from>
      <xdr:col>3</xdr:col>
      <xdr:colOff>0</xdr:colOff>
      <xdr:row>52</xdr:row>
      <xdr:rowOff>0</xdr:rowOff>
    </xdr:from>
    <xdr:to>
      <xdr:col>3</xdr:col>
      <xdr:colOff>95250</xdr:colOff>
      <xdr:row>52</xdr:row>
      <xdr:rowOff>104775</xdr:rowOff>
    </xdr:to>
    <xdr:pic>
      <xdr:nvPicPr>
        <xdr:cNvPr id="51" name="Grafik 6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0687050"/>
          <a:ext cx="95250" cy="104775"/>
        </a:xfrm>
        <a:prstGeom prst="rect">
          <a:avLst/>
        </a:prstGeom>
        <a:noFill/>
        <a:ln w="9525">
          <a:noFill/>
          <a:miter lim="800000"/>
          <a:headEnd/>
          <a:tailEnd/>
        </a:ln>
      </xdr:spPr>
    </xdr:pic>
    <xdr:clientData/>
  </xdr:twoCellAnchor>
  <xdr:twoCellAnchor editAs="oneCell">
    <xdr:from>
      <xdr:col>3</xdr:col>
      <xdr:colOff>0</xdr:colOff>
      <xdr:row>53</xdr:row>
      <xdr:rowOff>0</xdr:rowOff>
    </xdr:from>
    <xdr:to>
      <xdr:col>3</xdr:col>
      <xdr:colOff>95250</xdr:colOff>
      <xdr:row>53</xdr:row>
      <xdr:rowOff>114300</xdr:rowOff>
    </xdr:to>
    <xdr:pic>
      <xdr:nvPicPr>
        <xdr:cNvPr id="52" name="Grafik 6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0887075"/>
          <a:ext cx="95250" cy="104775"/>
        </a:xfrm>
        <a:prstGeom prst="rect">
          <a:avLst/>
        </a:prstGeom>
        <a:noFill/>
        <a:ln w="9525">
          <a:noFill/>
          <a:miter lim="800000"/>
          <a:headEnd/>
          <a:tailEnd/>
        </a:ln>
      </xdr:spPr>
    </xdr:pic>
    <xdr:clientData/>
  </xdr:twoCellAnchor>
  <xdr:twoCellAnchor editAs="oneCell">
    <xdr:from>
      <xdr:col>3</xdr:col>
      <xdr:colOff>0</xdr:colOff>
      <xdr:row>54</xdr:row>
      <xdr:rowOff>0</xdr:rowOff>
    </xdr:from>
    <xdr:to>
      <xdr:col>3</xdr:col>
      <xdr:colOff>95250</xdr:colOff>
      <xdr:row>54</xdr:row>
      <xdr:rowOff>104775</xdr:rowOff>
    </xdr:to>
    <xdr:pic>
      <xdr:nvPicPr>
        <xdr:cNvPr id="53" name="Grafik 6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1087100"/>
          <a:ext cx="95250" cy="104775"/>
        </a:xfrm>
        <a:prstGeom prst="rect">
          <a:avLst/>
        </a:prstGeom>
        <a:noFill/>
        <a:ln w="9525">
          <a:noFill/>
          <a:miter lim="800000"/>
          <a:headEnd/>
          <a:tailEnd/>
        </a:ln>
      </xdr:spPr>
    </xdr:pic>
    <xdr:clientData/>
  </xdr:twoCellAnchor>
  <xdr:twoCellAnchor editAs="oneCell">
    <xdr:from>
      <xdr:col>3</xdr:col>
      <xdr:colOff>0</xdr:colOff>
      <xdr:row>55</xdr:row>
      <xdr:rowOff>0</xdr:rowOff>
    </xdr:from>
    <xdr:to>
      <xdr:col>3</xdr:col>
      <xdr:colOff>95250</xdr:colOff>
      <xdr:row>55</xdr:row>
      <xdr:rowOff>114300</xdr:rowOff>
    </xdr:to>
    <xdr:pic>
      <xdr:nvPicPr>
        <xdr:cNvPr id="54" name="Grafik 6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1287125"/>
          <a:ext cx="95250" cy="104775"/>
        </a:xfrm>
        <a:prstGeom prst="rect">
          <a:avLst/>
        </a:prstGeom>
        <a:noFill/>
        <a:ln w="9525">
          <a:noFill/>
          <a:miter lim="800000"/>
          <a:headEnd/>
          <a:tailEnd/>
        </a:ln>
      </xdr:spPr>
    </xdr:pic>
    <xdr:clientData/>
  </xdr:twoCellAnchor>
  <xdr:twoCellAnchor editAs="oneCell">
    <xdr:from>
      <xdr:col>3</xdr:col>
      <xdr:colOff>0</xdr:colOff>
      <xdr:row>56</xdr:row>
      <xdr:rowOff>0</xdr:rowOff>
    </xdr:from>
    <xdr:to>
      <xdr:col>3</xdr:col>
      <xdr:colOff>95250</xdr:colOff>
      <xdr:row>56</xdr:row>
      <xdr:rowOff>104775</xdr:rowOff>
    </xdr:to>
    <xdr:pic>
      <xdr:nvPicPr>
        <xdr:cNvPr id="55" name="Grafik 6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1487150"/>
          <a:ext cx="95250" cy="104775"/>
        </a:xfrm>
        <a:prstGeom prst="rect">
          <a:avLst/>
        </a:prstGeom>
        <a:noFill/>
        <a:ln w="9525">
          <a:noFill/>
          <a:miter lim="800000"/>
          <a:headEnd/>
          <a:tailEnd/>
        </a:ln>
      </xdr:spPr>
    </xdr:pic>
    <xdr:clientData/>
  </xdr:twoCellAnchor>
  <xdr:twoCellAnchor editAs="oneCell">
    <xdr:from>
      <xdr:col>3</xdr:col>
      <xdr:colOff>0</xdr:colOff>
      <xdr:row>57</xdr:row>
      <xdr:rowOff>0</xdr:rowOff>
    </xdr:from>
    <xdr:to>
      <xdr:col>3</xdr:col>
      <xdr:colOff>95250</xdr:colOff>
      <xdr:row>57</xdr:row>
      <xdr:rowOff>114300</xdr:rowOff>
    </xdr:to>
    <xdr:pic>
      <xdr:nvPicPr>
        <xdr:cNvPr id="56" name="Grafik 7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1687175"/>
          <a:ext cx="95250" cy="104775"/>
        </a:xfrm>
        <a:prstGeom prst="rect">
          <a:avLst/>
        </a:prstGeom>
        <a:noFill/>
        <a:ln w="9525">
          <a:noFill/>
          <a:miter lim="800000"/>
          <a:headEnd/>
          <a:tailEnd/>
        </a:ln>
      </xdr:spPr>
    </xdr:pic>
    <xdr:clientData/>
  </xdr:twoCellAnchor>
  <xdr:twoCellAnchor editAs="oneCell">
    <xdr:from>
      <xdr:col>3</xdr:col>
      <xdr:colOff>0</xdr:colOff>
      <xdr:row>58</xdr:row>
      <xdr:rowOff>0</xdr:rowOff>
    </xdr:from>
    <xdr:to>
      <xdr:col>3</xdr:col>
      <xdr:colOff>95250</xdr:colOff>
      <xdr:row>58</xdr:row>
      <xdr:rowOff>104775</xdr:rowOff>
    </xdr:to>
    <xdr:pic>
      <xdr:nvPicPr>
        <xdr:cNvPr id="57" name="Grafik 7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1887200"/>
          <a:ext cx="95250" cy="104775"/>
        </a:xfrm>
        <a:prstGeom prst="rect">
          <a:avLst/>
        </a:prstGeom>
        <a:noFill/>
        <a:ln w="9525">
          <a:noFill/>
          <a:miter lim="800000"/>
          <a:headEnd/>
          <a:tailEnd/>
        </a:ln>
      </xdr:spPr>
    </xdr:pic>
    <xdr:clientData/>
  </xdr:twoCellAnchor>
  <xdr:twoCellAnchor editAs="oneCell">
    <xdr:from>
      <xdr:col>3</xdr:col>
      <xdr:colOff>0</xdr:colOff>
      <xdr:row>59</xdr:row>
      <xdr:rowOff>0</xdr:rowOff>
    </xdr:from>
    <xdr:to>
      <xdr:col>3</xdr:col>
      <xdr:colOff>95250</xdr:colOff>
      <xdr:row>59</xdr:row>
      <xdr:rowOff>114300</xdr:rowOff>
    </xdr:to>
    <xdr:pic>
      <xdr:nvPicPr>
        <xdr:cNvPr id="58" name="Grafik 7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2087225"/>
          <a:ext cx="95250" cy="104775"/>
        </a:xfrm>
        <a:prstGeom prst="rect">
          <a:avLst/>
        </a:prstGeom>
        <a:noFill/>
        <a:ln w="9525">
          <a:noFill/>
          <a:miter lim="800000"/>
          <a:headEnd/>
          <a:tailEnd/>
        </a:ln>
      </xdr:spPr>
    </xdr:pic>
    <xdr:clientData/>
  </xdr:twoCellAnchor>
  <xdr:twoCellAnchor editAs="oneCell">
    <xdr:from>
      <xdr:col>3</xdr:col>
      <xdr:colOff>0</xdr:colOff>
      <xdr:row>60</xdr:row>
      <xdr:rowOff>0</xdr:rowOff>
    </xdr:from>
    <xdr:to>
      <xdr:col>3</xdr:col>
      <xdr:colOff>95250</xdr:colOff>
      <xdr:row>60</xdr:row>
      <xdr:rowOff>104775</xdr:rowOff>
    </xdr:to>
    <xdr:pic>
      <xdr:nvPicPr>
        <xdr:cNvPr id="59" name="Grafik 7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2287250"/>
          <a:ext cx="95250" cy="104775"/>
        </a:xfrm>
        <a:prstGeom prst="rect">
          <a:avLst/>
        </a:prstGeom>
        <a:noFill/>
        <a:ln w="9525">
          <a:noFill/>
          <a:miter lim="800000"/>
          <a:headEnd/>
          <a:tailEnd/>
        </a:ln>
      </xdr:spPr>
    </xdr:pic>
    <xdr:clientData/>
  </xdr:twoCellAnchor>
  <xdr:twoCellAnchor editAs="oneCell">
    <xdr:from>
      <xdr:col>3</xdr:col>
      <xdr:colOff>0</xdr:colOff>
      <xdr:row>61</xdr:row>
      <xdr:rowOff>0</xdr:rowOff>
    </xdr:from>
    <xdr:to>
      <xdr:col>3</xdr:col>
      <xdr:colOff>95250</xdr:colOff>
      <xdr:row>61</xdr:row>
      <xdr:rowOff>114300</xdr:rowOff>
    </xdr:to>
    <xdr:pic>
      <xdr:nvPicPr>
        <xdr:cNvPr id="60" name="Grafik 7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2487275"/>
          <a:ext cx="95250" cy="104775"/>
        </a:xfrm>
        <a:prstGeom prst="rect">
          <a:avLst/>
        </a:prstGeom>
        <a:noFill/>
        <a:ln w="9525">
          <a:noFill/>
          <a:miter lim="800000"/>
          <a:headEnd/>
          <a:tailEnd/>
        </a:ln>
      </xdr:spPr>
    </xdr:pic>
    <xdr:clientData/>
  </xdr:twoCellAnchor>
  <xdr:twoCellAnchor editAs="oneCell">
    <xdr:from>
      <xdr:col>3</xdr:col>
      <xdr:colOff>0</xdr:colOff>
      <xdr:row>62</xdr:row>
      <xdr:rowOff>0</xdr:rowOff>
    </xdr:from>
    <xdr:to>
      <xdr:col>3</xdr:col>
      <xdr:colOff>95250</xdr:colOff>
      <xdr:row>62</xdr:row>
      <xdr:rowOff>104775</xdr:rowOff>
    </xdr:to>
    <xdr:pic>
      <xdr:nvPicPr>
        <xdr:cNvPr id="61" name="Grafik 7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2687300"/>
          <a:ext cx="95250" cy="104775"/>
        </a:xfrm>
        <a:prstGeom prst="rect">
          <a:avLst/>
        </a:prstGeom>
        <a:noFill/>
        <a:ln w="9525">
          <a:noFill/>
          <a:miter lim="800000"/>
          <a:headEnd/>
          <a:tailEnd/>
        </a:ln>
      </xdr:spPr>
    </xdr:pic>
    <xdr:clientData/>
  </xdr:twoCellAnchor>
  <xdr:twoCellAnchor editAs="oneCell">
    <xdr:from>
      <xdr:col>3</xdr:col>
      <xdr:colOff>0</xdr:colOff>
      <xdr:row>63</xdr:row>
      <xdr:rowOff>0</xdr:rowOff>
    </xdr:from>
    <xdr:to>
      <xdr:col>3</xdr:col>
      <xdr:colOff>95250</xdr:colOff>
      <xdr:row>63</xdr:row>
      <xdr:rowOff>114300</xdr:rowOff>
    </xdr:to>
    <xdr:pic>
      <xdr:nvPicPr>
        <xdr:cNvPr id="62" name="Grafik 7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2887325"/>
          <a:ext cx="95250" cy="104775"/>
        </a:xfrm>
        <a:prstGeom prst="rect">
          <a:avLst/>
        </a:prstGeom>
        <a:noFill/>
        <a:ln w="9525">
          <a:noFill/>
          <a:miter lim="800000"/>
          <a:headEnd/>
          <a:tailEnd/>
        </a:ln>
      </xdr:spPr>
    </xdr:pic>
    <xdr:clientData/>
  </xdr:twoCellAnchor>
  <xdr:twoCellAnchor editAs="oneCell">
    <xdr:from>
      <xdr:col>3</xdr:col>
      <xdr:colOff>0</xdr:colOff>
      <xdr:row>64</xdr:row>
      <xdr:rowOff>0</xdr:rowOff>
    </xdr:from>
    <xdr:to>
      <xdr:col>3</xdr:col>
      <xdr:colOff>95250</xdr:colOff>
      <xdr:row>64</xdr:row>
      <xdr:rowOff>104775</xdr:rowOff>
    </xdr:to>
    <xdr:pic>
      <xdr:nvPicPr>
        <xdr:cNvPr id="63" name="Grafik 7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3087350"/>
          <a:ext cx="95250" cy="104775"/>
        </a:xfrm>
        <a:prstGeom prst="rect">
          <a:avLst/>
        </a:prstGeom>
        <a:noFill/>
        <a:ln w="9525">
          <a:noFill/>
          <a:miter lim="800000"/>
          <a:headEnd/>
          <a:tailEnd/>
        </a:ln>
      </xdr:spPr>
    </xdr:pic>
    <xdr:clientData/>
  </xdr:twoCellAnchor>
  <xdr:twoCellAnchor editAs="oneCell">
    <xdr:from>
      <xdr:col>3</xdr:col>
      <xdr:colOff>0</xdr:colOff>
      <xdr:row>65</xdr:row>
      <xdr:rowOff>0</xdr:rowOff>
    </xdr:from>
    <xdr:to>
      <xdr:col>3</xdr:col>
      <xdr:colOff>95250</xdr:colOff>
      <xdr:row>65</xdr:row>
      <xdr:rowOff>114300</xdr:rowOff>
    </xdr:to>
    <xdr:pic>
      <xdr:nvPicPr>
        <xdr:cNvPr id="64" name="Grafik 7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3287375"/>
          <a:ext cx="95250" cy="104775"/>
        </a:xfrm>
        <a:prstGeom prst="rect">
          <a:avLst/>
        </a:prstGeom>
        <a:noFill/>
        <a:ln w="9525">
          <a:noFill/>
          <a:miter lim="800000"/>
          <a:headEnd/>
          <a:tailEnd/>
        </a:ln>
      </xdr:spPr>
    </xdr:pic>
    <xdr:clientData/>
  </xdr:twoCellAnchor>
  <xdr:twoCellAnchor editAs="oneCell">
    <xdr:from>
      <xdr:col>3</xdr:col>
      <xdr:colOff>0</xdr:colOff>
      <xdr:row>66</xdr:row>
      <xdr:rowOff>0</xdr:rowOff>
    </xdr:from>
    <xdr:to>
      <xdr:col>3</xdr:col>
      <xdr:colOff>95250</xdr:colOff>
      <xdr:row>66</xdr:row>
      <xdr:rowOff>104775</xdr:rowOff>
    </xdr:to>
    <xdr:pic>
      <xdr:nvPicPr>
        <xdr:cNvPr id="65" name="Grafik 7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3487400"/>
          <a:ext cx="95250" cy="104775"/>
        </a:xfrm>
        <a:prstGeom prst="rect">
          <a:avLst/>
        </a:prstGeom>
        <a:noFill/>
        <a:ln w="9525">
          <a:noFill/>
          <a:miter lim="800000"/>
          <a:headEnd/>
          <a:tailEnd/>
        </a:ln>
      </xdr:spPr>
    </xdr:pic>
    <xdr:clientData/>
  </xdr:twoCellAnchor>
  <xdr:twoCellAnchor editAs="oneCell">
    <xdr:from>
      <xdr:col>3</xdr:col>
      <xdr:colOff>0</xdr:colOff>
      <xdr:row>67</xdr:row>
      <xdr:rowOff>0</xdr:rowOff>
    </xdr:from>
    <xdr:to>
      <xdr:col>3</xdr:col>
      <xdr:colOff>95250</xdr:colOff>
      <xdr:row>67</xdr:row>
      <xdr:rowOff>114300</xdr:rowOff>
    </xdr:to>
    <xdr:pic>
      <xdr:nvPicPr>
        <xdr:cNvPr id="66" name="Grafik 8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3687425"/>
          <a:ext cx="95250" cy="104775"/>
        </a:xfrm>
        <a:prstGeom prst="rect">
          <a:avLst/>
        </a:prstGeom>
        <a:noFill/>
        <a:ln w="9525">
          <a:noFill/>
          <a:miter lim="800000"/>
          <a:headEnd/>
          <a:tailEnd/>
        </a:ln>
      </xdr:spPr>
    </xdr:pic>
    <xdr:clientData/>
  </xdr:twoCellAnchor>
  <xdr:twoCellAnchor editAs="oneCell">
    <xdr:from>
      <xdr:col>3</xdr:col>
      <xdr:colOff>0</xdr:colOff>
      <xdr:row>68</xdr:row>
      <xdr:rowOff>0</xdr:rowOff>
    </xdr:from>
    <xdr:to>
      <xdr:col>3</xdr:col>
      <xdr:colOff>95250</xdr:colOff>
      <xdr:row>68</xdr:row>
      <xdr:rowOff>104775</xdr:rowOff>
    </xdr:to>
    <xdr:pic>
      <xdr:nvPicPr>
        <xdr:cNvPr id="67" name="Grafik 8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3887450"/>
          <a:ext cx="95250" cy="104775"/>
        </a:xfrm>
        <a:prstGeom prst="rect">
          <a:avLst/>
        </a:prstGeom>
        <a:noFill/>
        <a:ln w="9525">
          <a:noFill/>
          <a:miter lim="800000"/>
          <a:headEnd/>
          <a:tailEnd/>
        </a:ln>
      </xdr:spPr>
    </xdr:pic>
    <xdr:clientData/>
  </xdr:twoCellAnchor>
  <xdr:twoCellAnchor editAs="oneCell">
    <xdr:from>
      <xdr:col>3</xdr:col>
      <xdr:colOff>0</xdr:colOff>
      <xdr:row>69</xdr:row>
      <xdr:rowOff>0</xdr:rowOff>
    </xdr:from>
    <xdr:to>
      <xdr:col>3</xdr:col>
      <xdr:colOff>95250</xdr:colOff>
      <xdr:row>69</xdr:row>
      <xdr:rowOff>114300</xdr:rowOff>
    </xdr:to>
    <xdr:pic>
      <xdr:nvPicPr>
        <xdr:cNvPr id="68" name="Grafik 8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4087475"/>
          <a:ext cx="95250" cy="104775"/>
        </a:xfrm>
        <a:prstGeom prst="rect">
          <a:avLst/>
        </a:prstGeom>
        <a:noFill/>
        <a:ln w="9525">
          <a:noFill/>
          <a:miter lim="800000"/>
          <a:headEnd/>
          <a:tailEnd/>
        </a:ln>
      </xdr:spPr>
    </xdr:pic>
    <xdr:clientData/>
  </xdr:twoCellAnchor>
  <xdr:twoCellAnchor editAs="oneCell">
    <xdr:from>
      <xdr:col>3</xdr:col>
      <xdr:colOff>0</xdr:colOff>
      <xdr:row>70</xdr:row>
      <xdr:rowOff>0</xdr:rowOff>
    </xdr:from>
    <xdr:to>
      <xdr:col>3</xdr:col>
      <xdr:colOff>95250</xdr:colOff>
      <xdr:row>70</xdr:row>
      <xdr:rowOff>104775</xdr:rowOff>
    </xdr:to>
    <xdr:pic>
      <xdr:nvPicPr>
        <xdr:cNvPr id="69" name="Grafik 8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4287500"/>
          <a:ext cx="95250" cy="104775"/>
        </a:xfrm>
        <a:prstGeom prst="rect">
          <a:avLst/>
        </a:prstGeom>
        <a:noFill/>
        <a:ln w="9525">
          <a:noFill/>
          <a:miter lim="800000"/>
          <a:headEnd/>
          <a:tailEnd/>
        </a:ln>
      </xdr:spPr>
    </xdr:pic>
    <xdr:clientData/>
  </xdr:twoCellAnchor>
  <xdr:twoCellAnchor editAs="oneCell">
    <xdr:from>
      <xdr:col>3</xdr:col>
      <xdr:colOff>0</xdr:colOff>
      <xdr:row>71</xdr:row>
      <xdr:rowOff>0</xdr:rowOff>
    </xdr:from>
    <xdr:to>
      <xdr:col>3</xdr:col>
      <xdr:colOff>95250</xdr:colOff>
      <xdr:row>71</xdr:row>
      <xdr:rowOff>114300</xdr:rowOff>
    </xdr:to>
    <xdr:pic>
      <xdr:nvPicPr>
        <xdr:cNvPr id="70" name="Grafik 8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4487525"/>
          <a:ext cx="95250" cy="104775"/>
        </a:xfrm>
        <a:prstGeom prst="rect">
          <a:avLst/>
        </a:prstGeom>
        <a:noFill/>
        <a:ln w="9525">
          <a:noFill/>
          <a:miter lim="800000"/>
          <a:headEnd/>
          <a:tailEnd/>
        </a:ln>
      </xdr:spPr>
    </xdr:pic>
    <xdr:clientData/>
  </xdr:twoCellAnchor>
  <xdr:twoCellAnchor editAs="oneCell">
    <xdr:from>
      <xdr:col>3</xdr:col>
      <xdr:colOff>0</xdr:colOff>
      <xdr:row>72</xdr:row>
      <xdr:rowOff>0</xdr:rowOff>
    </xdr:from>
    <xdr:to>
      <xdr:col>3</xdr:col>
      <xdr:colOff>95250</xdr:colOff>
      <xdr:row>72</xdr:row>
      <xdr:rowOff>104775</xdr:rowOff>
    </xdr:to>
    <xdr:pic>
      <xdr:nvPicPr>
        <xdr:cNvPr id="71" name="Grafik 8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4687550"/>
          <a:ext cx="95250" cy="104775"/>
        </a:xfrm>
        <a:prstGeom prst="rect">
          <a:avLst/>
        </a:prstGeom>
        <a:noFill/>
        <a:ln w="9525">
          <a:noFill/>
          <a:miter lim="800000"/>
          <a:headEnd/>
          <a:tailEnd/>
        </a:ln>
      </xdr:spPr>
    </xdr:pic>
    <xdr:clientData/>
  </xdr:twoCellAnchor>
  <xdr:twoCellAnchor editAs="oneCell">
    <xdr:from>
      <xdr:col>3</xdr:col>
      <xdr:colOff>0</xdr:colOff>
      <xdr:row>73</xdr:row>
      <xdr:rowOff>0</xdr:rowOff>
    </xdr:from>
    <xdr:to>
      <xdr:col>3</xdr:col>
      <xdr:colOff>95250</xdr:colOff>
      <xdr:row>73</xdr:row>
      <xdr:rowOff>114300</xdr:rowOff>
    </xdr:to>
    <xdr:pic>
      <xdr:nvPicPr>
        <xdr:cNvPr id="72" name="Grafik 8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4887575"/>
          <a:ext cx="95250" cy="104775"/>
        </a:xfrm>
        <a:prstGeom prst="rect">
          <a:avLst/>
        </a:prstGeom>
        <a:noFill/>
        <a:ln w="9525">
          <a:noFill/>
          <a:miter lim="800000"/>
          <a:headEnd/>
          <a:tailEnd/>
        </a:ln>
      </xdr:spPr>
    </xdr:pic>
    <xdr:clientData/>
  </xdr:twoCellAnchor>
  <xdr:twoCellAnchor editAs="oneCell">
    <xdr:from>
      <xdr:col>3</xdr:col>
      <xdr:colOff>0</xdr:colOff>
      <xdr:row>74</xdr:row>
      <xdr:rowOff>0</xdr:rowOff>
    </xdr:from>
    <xdr:to>
      <xdr:col>3</xdr:col>
      <xdr:colOff>95250</xdr:colOff>
      <xdr:row>74</xdr:row>
      <xdr:rowOff>104775</xdr:rowOff>
    </xdr:to>
    <xdr:pic>
      <xdr:nvPicPr>
        <xdr:cNvPr id="73" name="Grafik 8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5087600"/>
          <a:ext cx="95250" cy="104775"/>
        </a:xfrm>
        <a:prstGeom prst="rect">
          <a:avLst/>
        </a:prstGeom>
        <a:noFill/>
        <a:ln w="9525">
          <a:noFill/>
          <a:miter lim="800000"/>
          <a:headEnd/>
          <a:tailEnd/>
        </a:ln>
      </xdr:spPr>
    </xdr:pic>
    <xdr:clientData/>
  </xdr:twoCellAnchor>
  <xdr:twoCellAnchor editAs="oneCell">
    <xdr:from>
      <xdr:col>3</xdr:col>
      <xdr:colOff>0</xdr:colOff>
      <xdr:row>75</xdr:row>
      <xdr:rowOff>0</xdr:rowOff>
    </xdr:from>
    <xdr:to>
      <xdr:col>3</xdr:col>
      <xdr:colOff>95250</xdr:colOff>
      <xdr:row>75</xdr:row>
      <xdr:rowOff>114300</xdr:rowOff>
    </xdr:to>
    <xdr:pic>
      <xdr:nvPicPr>
        <xdr:cNvPr id="74" name="Grafik 8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5287625"/>
          <a:ext cx="95250" cy="104775"/>
        </a:xfrm>
        <a:prstGeom prst="rect">
          <a:avLst/>
        </a:prstGeom>
        <a:noFill/>
        <a:ln w="9525">
          <a:noFill/>
          <a:miter lim="800000"/>
          <a:headEnd/>
          <a:tailEnd/>
        </a:ln>
      </xdr:spPr>
    </xdr:pic>
    <xdr:clientData/>
  </xdr:twoCellAnchor>
  <xdr:twoCellAnchor editAs="oneCell">
    <xdr:from>
      <xdr:col>3</xdr:col>
      <xdr:colOff>0</xdr:colOff>
      <xdr:row>76</xdr:row>
      <xdr:rowOff>0</xdr:rowOff>
    </xdr:from>
    <xdr:to>
      <xdr:col>3</xdr:col>
      <xdr:colOff>95250</xdr:colOff>
      <xdr:row>76</xdr:row>
      <xdr:rowOff>104775</xdr:rowOff>
    </xdr:to>
    <xdr:pic>
      <xdr:nvPicPr>
        <xdr:cNvPr id="75" name="Grafik 8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5487650"/>
          <a:ext cx="95250" cy="104775"/>
        </a:xfrm>
        <a:prstGeom prst="rect">
          <a:avLst/>
        </a:prstGeom>
        <a:noFill/>
        <a:ln w="9525">
          <a:noFill/>
          <a:miter lim="800000"/>
          <a:headEnd/>
          <a:tailEnd/>
        </a:ln>
      </xdr:spPr>
    </xdr:pic>
    <xdr:clientData/>
  </xdr:twoCellAnchor>
  <xdr:twoCellAnchor editAs="oneCell">
    <xdr:from>
      <xdr:col>3</xdr:col>
      <xdr:colOff>0</xdr:colOff>
      <xdr:row>77</xdr:row>
      <xdr:rowOff>0</xdr:rowOff>
    </xdr:from>
    <xdr:to>
      <xdr:col>3</xdr:col>
      <xdr:colOff>95250</xdr:colOff>
      <xdr:row>77</xdr:row>
      <xdr:rowOff>114300</xdr:rowOff>
    </xdr:to>
    <xdr:pic>
      <xdr:nvPicPr>
        <xdr:cNvPr id="76" name="Grafik 9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5687675"/>
          <a:ext cx="95250" cy="104775"/>
        </a:xfrm>
        <a:prstGeom prst="rect">
          <a:avLst/>
        </a:prstGeom>
        <a:noFill/>
        <a:ln w="9525">
          <a:noFill/>
          <a:miter lim="800000"/>
          <a:headEnd/>
          <a:tailEnd/>
        </a:ln>
      </xdr:spPr>
    </xdr:pic>
    <xdr:clientData/>
  </xdr:twoCellAnchor>
  <xdr:twoCellAnchor editAs="oneCell">
    <xdr:from>
      <xdr:col>3</xdr:col>
      <xdr:colOff>0</xdr:colOff>
      <xdr:row>78</xdr:row>
      <xdr:rowOff>0</xdr:rowOff>
    </xdr:from>
    <xdr:to>
      <xdr:col>3</xdr:col>
      <xdr:colOff>95250</xdr:colOff>
      <xdr:row>78</xdr:row>
      <xdr:rowOff>104775</xdr:rowOff>
    </xdr:to>
    <xdr:pic>
      <xdr:nvPicPr>
        <xdr:cNvPr id="77" name="Grafik 9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5887700"/>
          <a:ext cx="95250" cy="104775"/>
        </a:xfrm>
        <a:prstGeom prst="rect">
          <a:avLst/>
        </a:prstGeom>
        <a:noFill/>
        <a:ln w="9525">
          <a:noFill/>
          <a:miter lim="800000"/>
          <a:headEnd/>
          <a:tailEnd/>
        </a:ln>
      </xdr:spPr>
    </xdr:pic>
    <xdr:clientData/>
  </xdr:twoCellAnchor>
  <xdr:twoCellAnchor editAs="oneCell">
    <xdr:from>
      <xdr:col>3</xdr:col>
      <xdr:colOff>0</xdr:colOff>
      <xdr:row>79</xdr:row>
      <xdr:rowOff>0</xdr:rowOff>
    </xdr:from>
    <xdr:to>
      <xdr:col>3</xdr:col>
      <xdr:colOff>95250</xdr:colOff>
      <xdr:row>79</xdr:row>
      <xdr:rowOff>114300</xdr:rowOff>
    </xdr:to>
    <xdr:pic>
      <xdr:nvPicPr>
        <xdr:cNvPr id="78" name="Grafik 9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6087725"/>
          <a:ext cx="95250" cy="104775"/>
        </a:xfrm>
        <a:prstGeom prst="rect">
          <a:avLst/>
        </a:prstGeom>
        <a:noFill/>
        <a:ln w="9525">
          <a:noFill/>
          <a:miter lim="800000"/>
          <a:headEnd/>
          <a:tailEnd/>
        </a:ln>
      </xdr:spPr>
    </xdr:pic>
    <xdr:clientData/>
  </xdr:twoCellAnchor>
  <xdr:twoCellAnchor editAs="oneCell">
    <xdr:from>
      <xdr:col>3</xdr:col>
      <xdr:colOff>0</xdr:colOff>
      <xdr:row>80</xdr:row>
      <xdr:rowOff>0</xdr:rowOff>
    </xdr:from>
    <xdr:to>
      <xdr:col>3</xdr:col>
      <xdr:colOff>95250</xdr:colOff>
      <xdr:row>80</xdr:row>
      <xdr:rowOff>104775</xdr:rowOff>
    </xdr:to>
    <xdr:pic>
      <xdr:nvPicPr>
        <xdr:cNvPr id="79" name="Grafik 9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6287750"/>
          <a:ext cx="95250" cy="104775"/>
        </a:xfrm>
        <a:prstGeom prst="rect">
          <a:avLst/>
        </a:prstGeom>
        <a:noFill/>
        <a:ln w="9525">
          <a:noFill/>
          <a:miter lim="800000"/>
          <a:headEnd/>
          <a:tailEnd/>
        </a:ln>
      </xdr:spPr>
    </xdr:pic>
    <xdr:clientData/>
  </xdr:twoCellAnchor>
  <xdr:twoCellAnchor editAs="oneCell">
    <xdr:from>
      <xdr:col>3</xdr:col>
      <xdr:colOff>0</xdr:colOff>
      <xdr:row>81</xdr:row>
      <xdr:rowOff>0</xdr:rowOff>
    </xdr:from>
    <xdr:to>
      <xdr:col>3</xdr:col>
      <xdr:colOff>95250</xdr:colOff>
      <xdr:row>81</xdr:row>
      <xdr:rowOff>114300</xdr:rowOff>
    </xdr:to>
    <xdr:pic>
      <xdr:nvPicPr>
        <xdr:cNvPr id="80" name="Grafik 9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6487775"/>
          <a:ext cx="95250" cy="104775"/>
        </a:xfrm>
        <a:prstGeom prst="rect">
          <a:avLst/>
        </a:prstGeom>
        <a:noFill/>
        <a:ln w="9525">
          <a:noFill/>
          <a:miter lim="800000"/>
          <a:headEnd/>
          <a:tailEnd/>
        </a:ln>
      </xdr:spPr>
    </xdr:pic>
    <xdr:clientData/>
  </xdr:twoCellAnchor>
  <xdr:twoCellAnchor editAs="oneCell">
    <xdr:from>
      <xdr:col>3</xdr:col>
      <xdr:colOff>0</xdr:colOff>
      <xdr:row>82</xdr:row>
      <xdr:rowOff>0</xdr:rowOff>
    </xdr:from>
    <xdr:to>
      <xdr:col>3</xdr:col>
      <xdr:colOff>95250</xdr:colOff>
      <xdr:row>82</xdr:row>
      <xdr:rowOff>104775</xdr:rowOff>
    </xdr:to>
    <xdr:pic>
      <xdr:nvPicPr>
        <xdr:cNvPr id="81" name="Grafik 9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6687800"/>
          <a:ext cx="95250" cy="104775"/>
        </a:xfrm>
        <a:prstGeom prst="rect">
          <a:avLst/>
        </a:prstGeom>
        <a:noFill/>
        <a:ln w="9525">
          <a:noFill/>
          <a:miter lim="800000"/>
          <a:headEnd/>
          <a:tailEnd/>
        </a:ln>
      </xdr:spPr>
    </xdr:pic>
    <xdr:clientData/>
  </xdr:twoCellAnchor>
  <xdr:twoCellAnchor editAs="oneCell">
    <xdr:from>
      <xdr:col>3</xdr:col>
      <xdr:colOff>0</xdr:colOff>
      <xdr:row>83</xdr:row>
      <xdr:rowOff>0</xdr:rowOff>
    </xdr:from>
    <xdr:to>
      <xdr:col>3</xdr:col>
      <xdr:colOff>95250</xdr:colOff>
      <xdr:row>83</xdr:row>
      <xdr:rowOff>114300</xdr:rowOff>
    </xdr:to>
    <xdr:pic>
      <xdr:nvPicPr>
        <xdr:cNvPr id="82" name="Grafik 9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6887825"/>
          <a:ext cx="95250" cy="104775"/>
        </a:xfrm>
        <a:prstGeom prst="rect">
          <a:avLst/>
        </a:prstGeom>
        <a:noFill/>
        <a:ln w="9525">
          <a:noFill/>
          <a:miter lim="800000"/>
          <a:headEnd/>
          <a:tailEnd/>
        </a:ln>
      </xdr:spPr>
    </xdr:pic>
    <xdr:clientData/>
  </xdr:twoCellAnchor>
  <xdr:twoCellAnchor editAs="oneCell">
    <xdr:from>
      <xdr:col>3</xdr:col>
      <xdr:colOff>0</xdr:colOff>
      <xdr:row>84</xdr:row>
      <xdr:rowOff>0</xdr:rowOff>
    </xdr:from>
    <xdr:to>
      <xdr:col>3</xdr:col>
      <xdr:colOff>95250</xdr:colOff>
      <xdr:row>84</xdr:row>
      <xdr:rowOff>104775</xdr:rowOff>
    </xdr:to>
    <xdr:pic>
      <xdr:nvPicPr>
        <xdr:cNvPr id="83" name="Grafik 9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7087850"/>
          <a:ext cx="95250" cy="104775"/>
        </a:xfrm>
        <a:prstGeom prst="rect">
          <a:avLst/>
        </a:prstGeom>
        <a:noFill/>
        <a:ln w="9525">
          <a:noFill/>
          <a:miter lim="800000"/>
          <a:headEnd/>
          <a:tailEnd/>
        </a:ln>
      </xdr:spPr>
    </xdr:pic>
    <xdr:clientData/>
  </xdr:twoCellAnchor>
  <xdr:twoCellAnchor editAs="oneCell">
    <xdr:from>
      <xdr:col>3</xdr:col>
      <xdr:colOff>0</xdr:colOff>
      <xdr:row>85</xdr:row>
      <xdr:rowOff>0</xdr:rowOff>
    </xdr:from>
    <xdr:to>
      <xdr:col>3</xdr:col>
      <xdr:colOff>95250</xdr:colOff>
      <xdr:row>85</xdr:row>
      <xdr:rowOff>114300</xdr:rowOff>
    </xdr:to>
    <xdr:pic>
      <xdr:nvPicPr>
        <xdr:cNvPr id="84" name="Grafik 9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7287875"/>
          <a:ext cx="95250" cy="104775"/>
        </a:xfrm>
        <a:prstGeom prst="rect">
          <a:avLst/>
        </a:prstGeom>
        <a:noFill/>
        <a:ln w="9525">
          <a:noFill/>
          <a:miter lim="800000"/>
          <a:headEnd/>
          <a:tailEnd/>
        </a:ln>
      </xdr:spPr>
    </xdr:pic>
    <xdr:clientData/>
  </xdr:twoCellAnchor>
  <xdr:twoCellAnchor editAs="oneCell">
    <xdr:from>
      <xdr:col>3</xdr:col>
      <xdr:colOff>0</xdr:colOff>
      <xdr:row>86</xdr:row>
      <xdr:rowOff>0</xdr:rowOff>
    </xdr:from>
    <xdr:to>
      <xdr:col>3</xdr:col>
      <xdr:colOff>95250</xdr:colOff>
      <xdr:row>86</xdr:row>
      <xdr:rowOff>104775</xdr:rowOff>
    </xdr:to>
    <xdr:pic>
      <xdr:nvPicPr>
        <xdr:cNvPr id="85" name="Grafik 9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7487900"/>
          <a:ext cx="95250" cy="104775"/>
        </a:xfrm>
        <a:prstGeom prst="rect">
          <a:avLst/>
        </a:prstGeom>
        <a:noFill/>
        <a:ln w="9525">
          <a:noFill/>
          <a:miter lim="800000"/>
          <a:headEnd/>
          <a:tailEnd/>
        </a:ln>
      </xdr:spPr>
    </xdr:pic>
    <xdr:clientData/>
  </xdr:twoCellAnchor>
  <xdr:twoCellAnchor editAs="oneCell">
    <xdr:from>
      <xdr:col>3</xdr:col>
      <xdr:colOff>0</xdr:colOff>
      <xdr:row>87</xdr:row>
      <xdr:rowOff>0</xdr:rowOff>
    </xdr:from>
    <xdr:to>
      <xdr:col>3</xdr:col>
      <xdr:colOff>95250</xdr:colOff>
      <xdr:row>87</xdr:row>
      <xdr:rowOff>114300</xdr:rowOff>
    </xdr:to>
    <xdr:pic>
      <xdr:nvPicPr>
        <xdr:cNvPr id="86" name="Grafik 10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7687925"/>
          <a:ext cx="95250" cy="104775"/>
        </a:xfrm>
        <a:prstGeom prst="rect">
          <a:avLst/>
        </a:prstGeom>
        <a:noFill/>
        <a:ln w="9525">
          <a:noFill/>
          <a:miter lim="800000"/>
          <a:headEnd/>
          <a:tailEnd/>
        </a:ln>
      </xdr:spPr>
    </xdr:pic>
    <xdr:clientData/>
  </xdr:twoCellAnchor>
  <xdr:twoCellAnchor editAs="oneCell">
    <xdr:from>
      <xdr:col>3</xdr:col>
      <xdr:colOff>0</xdr:colOff>
      <xdr:row>88</xdr:row>
      <xdr:rowOff>0</xdr:rowOff>
    </xdr:from>
    <xdr:to>
      <xdr:col>3</xdr:col>
      <xdr:colOff>95250</xdr:colOff>
      <xdr:row>88</xdr:row>
      <xdr:rowOff>104775</xdr:rowOff>
    </xdr:to>
    <xdr:pic>
      <xdr:nvPicPr>
        <xdr:cNvPr id="87" name="Grafik 10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7887950"/>
          <a:ext cx="95250" cy="104775"/>
        </a:xfrm>
        <a:prstGeom prst="rect">
          <a:avLst/>
        </a:prstGeom>
        <a:noFill/>
        <a:ln w="9525">
          <a:noFill/>
          <a:miter lim="800000"/>
          <a:headEnd/>
          <a:tailEnd/>
        </a:ln>
      </xdr:spPr>
    </xdr:pic>
    <xdr:clientData/>
  </xdr:twoCellAnchor>
  <xdr:twoCellAnchor editAs="oneCell">
    <xdr:from>
      <xdr:col>3</xdr:col>
      <xdr:colOff>0</xdr:colOff>
      <xdr:row>89</xdr:row>
      <xdr:rowOff>0</xdr:rowOff>
    </xdr:from>
    <xdr:to>
      <xdr:col>3</xdr:col>
      <xdr:colOff>95250</xdr:colOff>
      <xdr:row>89</xdr:row>
      <xdr:rowOff>114300</xdr:rowOff>
    </xdr:to>
    <xdr:pic>
      <xdr:nvPicPr>
        <xdr:cNvPr id="88" name="Grafik 10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8087975"/>
          <a:ext cx="95250" cy="104775"/>
        </a:xfrm>
        <a:prstGeom prst="rect">
          <a:avLst/>
        </a:prstGeom>
        <a:noFill/>
        <a:ln w="9525">
          <a:noFill/>
          <a:miter lim="800000"/>
          <a:headEnd/>
          <a:tailEnd/>
        </a:ln>
      </xdr:spPr>
    </xdr:pic>
    <xdr:clientData/>
  </xdr:twoCellAnchor>
  <xdr:twoCellAnchor editAs="oneCell">
    <xdr:from>
      <xdr:col>3</xdr:col>
      <xdr:colOff>0</xdr:colOff>
      <xdr:row>90</xdr:row>
      <xdr:rowOff>0</xdr:rowOff>
    </xdr:from>
    <xdr:to>
      <xdr:col>3</xdr:col>
      <xdr:colOff>95250</xdr:colOff>
      <xdr:row>90</xdr:row>
      <xdr:rowOff>104775</xdr:rowOff>
    </xdr:to>
    <xdr:pic>
      <xdr:nvPicPr>
        <xdr:cNvPr id="89" name="Grafik 10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8288000"/>
          <a:ext cx="95250" cy="104775"/>
        </a:xfrm>
        <a:prstGeom prst="rect">
          <a:avLst/>
        </a:prstGeom>
        <a:noFill/>
        <a:ln w="9525">
          <a:noFill/>
          <a:miter lim="800000"/>
          <a:headEnd/>
          <a:tailEnd/>
        </a:ln>
      </xdr:spPr>
    </xdr:pic>
    <xdr:clientData/>
  </xdr:twoCellAnchor>
  <xdr:twoCellAnchor editAs="oneCell">
    <xdr:from>
      <xdr:col>3</xdr:col>
      <xdr:colOff>0</xdr:colOff>
      <xdr:row>91</xdr:row>
      <xdr:rowOff>0</xdr:rowOff>
    </xdr:from>
    <xdr:to>
      <xdr:col>3</xdr:col>
      <xdr:colOff>95250</xdr:colOff>
      <xdr:row>91</xdr:row>
      <xdr:rowOff>114300</xdr:rowOff>
    </xdr:to>
    <xdr:pic>
      <xdr:nvPicPr>
        <xdr:cNvPr id="90" name="Grafik 10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8488025"/>
          <a:ext cx="95250" cy="104775"/>
        </a:xfrm>
        <a:prstGeom prst="rect">
          <a:avLst/>
        </a:prstGeom>
        <a:noFill/>
        <a:ln w="9525">
          <a:noFill/>
          <a:miter lim="800000"/>
          <a:headEnd/>
          <a:tailEnd/>
        </a:ln>
      </xdr:spPr>
    </xdr:pic>
    <xdr:clientData/>
  </xdr:twoCellAnchor>
  <xdr:twoCellAnchor editAs="oneCell">
    <xdr:from>
      <xdr:col>3</xdr:col>
      <xdr:colOff>0</xdr:colOff>
      <xdr:row>92</xdr:row>
      <xdr:rowOff>0</xdr:rowOff>
    </xdr:from>
    <xdr:to>
      <xdr:col>3</xdr:col>
      <xdr:colOff>95250</xdr:colOff>
      <xdr:row>92</xdr:row>
      <xdr:rowOff>104775</xdr:rowOff>
    </xdr:to>
    <xdr:pic>
      <xdr:nvPicPr>
        <xdr:cNvPr id="91" name="Grafik 10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8688050"/>
          <a:ext cx="95250" cy="104775"/>
        </a:xfrm>
        <a:prstGeom prst="rect">
          <a:avLst/>
        </a:prstGeom>
        <a:noFill/>
        <a:ln w="9525">
          <a:noFill/>
          <a:miter lim="800000"/>
          <a:headEnd/>
          <a:tailEnd/>
        </a:ln>
      </xdr:spPr>
    </xdr:pic>
    <xdr:clientData/>
  </xdr:twoCellAnchor>
  <xdr:twoCellAnchor editAs="oneCell">
    <xdr:from>
      <xdr:col>3</xdr:col>
      <xdr:colOff>0</xdr:colOff>
      <xdr:row>93</xdr:row>
      <xdr:rowOff>0</xdr:rowOff>
    </xdr:from>
    <xdr:to>
      <xdr:col>3</xdr:col>
      <xdr:colOff>95250</xdr:colOff>
      <xdr:row>93</xdr:row>
      <xdr:rowOff>114300</xdr:rowOff>
    </xdr:to>
    <xdr:pic>
      <xdr:nvPicPr>
        <xdr:cNvPr id="92" name="Grafik 10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8888075"/>
          <a:ext cx="95250" cy="104775"/>
        </a:xfrm>
        <a:prstGeom prst="rect">
          <a:avLst/>
        </a:prstGeom>
        <a:noFill/>
        <a:ln w="9525">
          <a:noFill/>
          <a:miter lim="800000"/>
          <a:headEnd/>
          <a:tailEnd/>
        </a:ln>
      </xdr:spPr>
    </xdr:pic>
    <xdr:clientData/>
  </xdr:twoCellAnchor>
  <xdr:twoCellAnchor editAs="oneCell">
    <xdr:from>
      <xdr:col>3</xdr:col>
      <xdr:colOff>0</xdr:colOff>
      <xdr:row>94</xdr:row>
      <xdr:rowOff>0</xdr:rowOff>
    </xdr:from>
    <xdr:to>
      <xdr:col>3</xdr:col>
      <xdr:colOff>95250</xdr:colOff>
      <xdr:row>94</xdr:row>
      <xdr:rowOff>104775</xdr:rowOff>
    </xdr:to>
    <xdr:pic>
      <xdr:nvPicPr>
        <xdr:cNvPr id="93" name="Grafik 10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9088100"/>
          <a:ext cx="95250" cy="104775"/>
        </a:xfrm>
        <a:prstGeom prst="rect">
          <a:avLst/>
        </a:prstGeom>
        <a:noFill/>
        <a:ln w="9525">
          <a:noFill/>
          <a:miter lim="800000"/>
          <a:headEnd/>
          <a:tailEnd/>
        </a:ln>
      </xdr:spPr>
    </xdr:pic>
    <xdr:clientData/>
  </xdr:twoCellAnchor>
  <xdr:twoCellAnchor editAs="oneCell">
    <xdr:from>
      <xdr:col>3</xdr:col>
      <xdr:colOff>0</xdr:colOff>
      <xdr:row>95</xdr:row>
      <xdr:rowOff>0</xdr:rowOff>
    </xdr:from>
    <xdr:to>
      <xdr:col>3</xdr:col>
      <xdr:colOff>95250</xdr:colOff>
      <xdr:row>95</xdr:row>
      <xdr:rowOff>114300</xdr:rowOff>
    </xdr:to>
    <xdr:pic>
      <xdr:nvPicPr>
        <xdr:cNvPr id="94" name="Grafik 10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9288125"/>
          <a:ext cx="95250" cy="104775"/>
        </a:xfrm>
        <a:prstGeom prst="rect">
          <a:avLst/>
        </a:prstGeom>
        <a:noFill/>
        <a:ln w="9525">
          <a:noFill/>
          <a:miter lim="800000"/>
          <a:headEnd/>
          <a:tailEnd/>
        </a:ln>
      </xdr:spPr>
    </xdr:pic>
    <xdr:clientData/>
  </xdr:twoCellAnchor>
  <xdr:twoCellAnchor editAs="oneCell">
    <xdr:from>
      <xdr:col>3</xdr:col>
      <xdr:colOff>0</xdr:colOff>
      <xdr:row>96</xdr:row>
      <xdr:rowOff>0</xdr:rowOff>
    </xdr:from>
    <xdr:to>
      <xdr:col>3</xdr:col>
      <xdr:colOff>95250</xdr:colOff>
      <xdr:row>96</xdr:row>
      <xdr:rowOff>104775</xdr:rowOff>
    </xdr:to>
    <xdr:pic>
      <xdr:nvPicPr>
        <xdr:cNvPr id="95" name="Grafik 10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9488150"/>
          <a:ext cx="95250" cy="104775"/>
        </a:xfrm>
        <a:prstGeom prst="rect">
          <a:avLst/>
        </a:prstGeom>
        <a:noFill/>
        <a:ln w="9525">
          <a:noFill/>
          <a:miter lim="800000"/>
          <a:headEnd/>
          <a:tailEnd/>
        </a:ln>
      </xdr:spPr>
    </xdr:pic>
    <xdr:clientData/>
  </xdr:twoCellAnchor>
  <xdr:twoCellAnchor editAs="oneCell">
    <xdr:from>
      <xdr:col>3</xdr:col>
      <xdr:colOff>0</xdr:colOff>
      <xdr:row>97</xdr:row>
      <xdr:rowOff>0</xdr:rowOff>
    </xdr:from>
    <xdr:to>
      <xdr:col>3</xdr:col>
      <xdr:colOff>95250</xdr:colOff>
      <xdr:row>97</xdr:row>
      <xdr:rowOff>114300</xdr:rowOff>
    </xdr:to>
    <xdr:pic>
      <xdr:nvPicPr>
        <xdr:cNvPr id="96" name="Grafik 11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9688175"/>
          <a:ext cx="95250" cy="104775"/>
        </a:xfrm>
        <a:prstGeom prst="rect">
          <a:avLst/>
        </a:prstGeom>
        <a:noFill/>
        <a:ln w="9525">
          <a:noFill/>
          <a:miter lim="800000"/>
          <a:headEnd/>
          <a:tailEnd/>
        </a:ln>
      </xdr:spPr>
    </xdr:pic>
    <xdr:clientData/>
  </xdr:twoCellAnchor>
  <xdr:twoCellAnchor editAs="oneCell">
    <xdr:from>
      <xdr:col>3</xdr:col>
      <xdr:colOff>0</xdr:colOff>
      <xdr:row>98</xdr:row>
      <xdr:rowOff>0</xdr:rowOff>
    </xdr:from>
    <xdr:to>
      <xdr:col>3</xdr:col>
      <xdr:colOff>95250</xdr:colOff>
      <xdr:row>98</xdr:row>
      <xdr:rowOff>104775</xdr:rowOff>
    </xdr:to>
    <xdr:pic>
      <xdr:nvPicPr>
        <xdr:cNvPr id="97" name="Grafik 11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19888200"/>
          <a:ext cx="95250" cy="104775"/>
        </a:xfrm>
        <a:prstGeom prst="rect">
          <a:avLst/>
        </a:prstGeom>
        <a:noFill/>
        <a:ln w="9525">
          <a:noFill/>
          <a:miter lim="800000"/>
          <a:headEnd/>
          <a:tailEnd/>
        </a:ln>
      </xdr:spPr>
    </xdr:pic>
    <xdr:clientData/>
  </xdr:twoCellAnchor>
  <xdr:twoCellAnchor editAs="oneCell">
    <xdr:from>
      <xdr:col>3</xdr:col>
      <xdr:colOff>0</xdr:colOff>
      <xdr:row>99</xdr:row>
      <xdr:rowOff>0</xdr:rowOff>
    </xdr:from>
    <xdr:to>
      <xdr:col>3</xdr:col>
      <xdr:colOff>95250</xdr:colOff>
      <xdr:row>99</xdr:row>
      <xdr:rowOff>114300</xdr:rowOff>
    </xdr:to>
    <xdr:pic>
      <xdr:nvPicPr>
        <xdr:cNvPr id="98" name="Grafik 11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0088225"/>
          <a:ext cx="95250" cy="104775"/>
        </a:xfrm>
        <a:prstGeom prst="rect">
          <a:avLst/>
        </a:prstGeom>
        <a:noFill/>
        <a:ln w="9525">
          <a:noFill/>
          <a:miter lim="800000"/>
          <a:headEnd/>
          <a:tailEnd/>
        </a:ln>
      </xdr:spPr>
    </xdr:pic>
    <xdr:clientData/>
  </xdr:twoCellAnchor>
  <xdr:twoCellAnchor editAs="oneCell">
    <xdr:from>
      <xdr:col>3</xdr:col>
      <xdr:colOff>0</xdr:colOff>
      <xdr:row>100</xdr:row>
      <xdr:rowOff>0</xdr:rowOff>
    </xdr:from>
    <xdr:to>
      <xdr:col>3</xdr:col>
      <xdr:colOff>95250</xdr:colOff>
      <xdr:row>100</xdr:row>
      <xdr:rowOff>104775</xdr:rowOff>
    </xdr:to>
    <xdr:pic>
      <xdr:nvPicPr>
        <xdr:cNvPr id="99" name="Grafik 11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0288250"/>
          <a:ext cx="95250" cy="104775"/>
        </a:xfrm>
        <a:prstGeom prst="rect">
          <a:avLst/>
        </a:prstGeom>
        <a:noFill/>
        <a:ln w="9525">
          <a:noFill/>
          <a:miter lim="800000"/>
          <a:headEnd/>
          <a:tailEnd/>
        </a:ln>
      </xdr:spPr>
    </xdr:pic>
    <xdr:clientData/>
  </xdr:twoCellAnchor>
  <xdr:twoCellAnchor editAs="oneCell">
    <xdr:from>
      <xdr:col>3</xdr:col>
      <xdr:colOff>0</xdr:colOff>
      <xdr:row>101</xdr:row>
      <xdr:rowOff>0</xdr:rowOff>
    </xdr:from>
    <xdr:to>
      <xdr:col>3</xdr:col>
      <xdr:colOff>95250</xdr:colOff>
      <xdr:row>101</xdr:row>
      <xdr:rowOff>114300</xdr:rowOff>
    </xdr:to>
    <xdr:pic>
      <xdr:nvPicPr>
        <xdr:cNvPr id="100" name="Grafik 11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0488275"/>
          <a:ext cx="95250" cy="104775"/>
        </a:xfrm>
        <a:prstGeom prst="rect">
          <a:avLst/>
        </a:prstGeom>
        <a:noFill/>
        <a:ln w="9525">
          <a:noFill/>
          <a:miter lim="800000"/>
          <a:headEnd/>
          <a:tailEnd/>
        </a:ln>
      </xdr:spPr>
    </xdr:pic>
    <xdr:clientData/>
  </xdr:twoCellAnchor>
  <xdr:twoCellAnchor editAs="oneCell">
    <xdr:from>
      <xdr:col>3</xdr:col>
      <xdr:colOff>0</xdr:colOff>
      <xdr:row>102</xdr:row>
      <xdr:rowOff>0</xdr:rowOff>
    </xdr:from>
    <xdr:to>
      <xdr:col>3</xdr:col>
      <xdr:colOff>95250</xdr:colOff>
      <xdr:row>102</xdr:row>
      <xdr:rowOff>104775</xdr:rowOff>
    </xdr:to>
    <xdr:pic>
      <xdr:nvPicPr>
        <xdr:cNvPr id="101" name="Grafik 11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0688300"/>
          <a:ext cx="95250" cy="104775"/>
        </a:xfrm>
        <a:prstGeom prst="rect">
          <a:avLst/>
        </a:prstGeom>
        <a:noFill/>
        <a:ln w="9525">
          <a:noFill/>
          <a:miter lim="800000"/>
          <a:headEnd/>
          <a:tailEnd/>
        </a:ln>
      </xdr:spPr>
    </xdr:pic>
    <xdr:clientData/>
  </xdr:twoCellAnchor>
  <xdr:twoCellAnchor editAs="oneCell">
    <xdr:from>
      <xdr:col>3</xdr:col>
      <xdr:colOff>0</xdr:colOff>
      <xdr:row>103</xdr:row>
      <xdr:rowOff>0</xdr:rowOff>
    </xdr:from>
    <xdr:to>
      <xdr:col>3</xdr:col>
      <xdr:colOff>95250</xdr:colOff>
      <xdr:row>103</xdr:row>
      <xdr:rowOff>114300</xdr:rowOff>
    </xdr:to>
    <xdr:pic>
      <xdr:nvPicPr>
        <xdr:cNvPr id="102" name="Grafik 11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0888325"/>
          <a:ext cx="95250" cy="104775"/>
        </a:xfrm>
        <a:prstGeom prst="rect">
          <a:avLst/>
        </a:prstGeom>
        <a:noFill/>
        <a:ln w="9525">
          <a:noFill/>
          <a:miter lim="800000"/>
          <a:headEnd/>
          <a:tailEnd/>
        </a:ln>
      </xdr:spPr>
    </xdr:pic>
    <xdr:clientData/>
  </xdr:twoCellAnchor>
  <xdr:twoCellAnchor editAs="oneCell">
    <xdr:from>
      <xdr:col>3</xdr:col>
      <xdr:colOff>0</xdr:colOff>
      <xdr:row>104</xdr:row>
      <xdr:rowOff>0</xdr:rowOff>
    </xdr:from>
    <xdr:to>
      <xdr:col>3</xdr:col>
      <xdr:colOff>95250</xdr:colOff>
      <xdr:row>104</xdr:row>
      <xdr:rowOff>104775</xdr:rowOff>
    </xdr:to>
    <xdr:pic>
      <xdr:nvPicPr>
        <xdr:cNvPr id="103" name="Grafik 11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1088350"/>
          <a:ext cx="95250" cy="104775"/>
        </a:xfrm>
        <a:prstGeom prst="rect">
          <a:avLst/>
        </a:prstGeom>
        <a:noFill/>
        <a:ln w="9525">
          <a:noFill/>
          <a:miter lim="800000"/>
          <a:headEnd/>
          <a:tailEnd/>
        </a:ln>
      </xdr:spPr>
    </xdr:pic>
    <xdr:clientData/>
  </xdr:twoCellAnchor>
  <xdr:twoCellAnchor editAs="oneCell">
    <xdr:from>
      <xdr:col>3</xdr:col>
      <xdr:colOff>0</xdr:colOff>
      <xdr:row>105</xdr:row>
      <xdr:rowOff>0</xdr:rowOff>
    </xdr:from>
    <xdr:to>
      <xdr:col>3</xdr:col>
      <xdr:colOff>95250</xdr:colOff>
      <xdr:row>105</xdr:row>
      <xdr:rowOff>114300</xdr:rowOff>
    </xdr:to>
    <xdr:pic>
      <xdr:nvPicPr>
        <xdr:cNvPr id="104" name="Grafik 11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1288375"/>
          <a:ext cx="95250" cy="104775"/>
        </a:xfrm>
        <a:prstGeom prst="rect">
          <a:avLst/>
        </a:prstGeom>
        <a:noFill/>
        <a:ln w="9525">
          <a:noFill/>
          <a:miter lim="800000"/>
          <a:headEnd/>
          <a:tailEnd/>
        </a:ln>
      </xdr:spPr>
    </xdr:pic>
    <xdr:clientData/>
  </xdr:twoCellAnchor>
  <xdr:twoCellAnchor editAs="oneCell">
    <xdr:from>
      <xdr:col>3</xdr:col>
      <xdr:colOff>0</xdr:colOff>
      <xdr:row>106</xdr:row>
      <xdr:rowOff>0</xdr:rowOff>
    </xdr:from>
    <xdr:to>
      <xdr:col>3</xdr:col>
      <xdr:colOff>95250</xdr:colOff>
      <xdr:row>106</xdr:row>
      <xdr:rowOff>104775</xdr:rowOff>
    </xdr:to>
    <xdr:pic>
      <xdr:nvPicPr>
        <xdr:cNvPr id="105" name="Grafik 11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1488400"/>
          <a:ext cx="95250" cy="104775"/>
        </a:xfrm>
        <a:prstGeom prst="rect">
          <a:avLst/>
        </a:prstGeom>
        <a:noFill/>
        <a:ln w="9525">
          <a:noFill/>
          <a:miter lim="800000"/>
          <a:headEnd/>
          <a:tailEnd/>
        </a:ln>
      </xdr:spPr>
    </xdr:pic>
    <xdr:clientData/>
  </xdr:twoCellAnchor>
  <xdr:twoCellAnchor editAs="oneCell">
    <xdr:from>
      <xdr:col>3</xdr:col>
      <xdr:colOff>0</xdr:colOff>
      <xdr:row>107</xdr:row>
      <xdr:rowOff>0</xdr:rowOff>
    </xdr:from>
    <xdr:to>
      <xdr:col>3</xdr:col>
      <xdr:colOff>95250</xdr:colOff>
      <xdr:row>107</xdr:row>
      <xdr:rowOff>114300</xdr:rowOff>
    </xdr:to>
    <xdr:pic>
      <xdr:nvPicPr>
        <xdr:cNvPr id="106" name="Grafik 12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1688425"/>
          <a:ext cx="95250" cy="104775"/>
        </a:xfrm>
        <a:prstGeom prst="rect">
          <a:avLst/>
        </a:prstGeom>
        <a:noFill/>
        <a:ln w="9525">
          <a:noFill/>
          <a:miter lim="800000"/>
          <a:headEnd/>
          <a:tailEnd/>
        </a:ln>
      </xdr:spPr>
    </xdr:pic>
    <xdr:clientData/>
  </xdr:twoCellAnchor>
  <xdr:twoCellAnchor editAs="oneCell">
    <xdr:from>
      <xdr:col>3</xdr:col>
      <xdr:colOff>0</xdr:colOff>
      <xdr:row>108</xdr:row>
      <xdr:rowOff>0</xdr:rowOff>
    </xdr:from>
    <xdr:to>
      <xdr:col>3</xdr:col>
      <xdr:colOff>95250</xdr:colOff>
      <xdr:row>108</xdr:row>
      <xdr:rowOff>104775</xdr:rowOff>
    </xdr:to>
    <xdr:pic>
      <xdr:nvPicPr>
        <xdr:cNvPr id="107" name="Grafik 12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1888450"/>
          <a:ext cx="95250" cy="104775"/>
        </a:xfrm>
        <a:prstGeom prst="rect">
          <a:avLst/>
        </a:prstGeom>
        <a:noFill/>
        <a:ln w="9525">
          <a:noFill/>
          <a:miter lim="800000"/>
          <a:headEnd/>
          <a:tailEnd/>
        </a:ln>
      </xdr:spPr>
    </xdr:pic>
    <xdr:clientData/>
  </xdr:twoCellAnchor>
  <xdr:twoCellAnchor editAs="oneCell">
    <xdr:from>
      <xdr:col>3</xdr:col>
      <xdr:colOff>0</xdr:colOff>
      <xdr:row>109</xdr:row>
      <xdr:rowOff>0</xdr:rowOff>
    </xdr:from>
    <xdr:to>
      <xdr:col>3</xdr:col>
      <xdr:colOff>95250</xdr:colOff>
      <xdr:row>109</xdr:row>
      <xdr:rowOff>114300</xdr:rowOff>
    </xdr:to>
    <xdr:pic>
      <xdr:nvPicPr>
        <xdr:cNvPr id="108" name="Grafik 12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2088475"/>
          <a:ext cx="95250" cy="104775"/>
        </a:xfrm>
        <a:prstGeom prst="rect">
          <a:avLst/>
        </a:prstGeom>
        <a:noFill/>
        <a:ln w="9525">
          <a:noFill/>
          <a:miter lim="800000"/>
          <a:headEnd/>
          <a:tailEnd/>
        </a:ln>
      </xdr:spPr>
    </xdr:pic>
    <xdr:clientData/>
  </xdr:twoCellAnchor>
  <xdr:twoCellAnchor editAs="oneCell">
    <xdr:from>
      <xdr:col>3</xdr:col>
      <xdr:colOff>0</xdr:colOff>
      <xdr:row>110</xdr:row>
      <xdr:rowOff>0</xdr:rowOff>
    </xdr:from>
    <xdr:to>
      <xdr:col>3</xdr:col>
      <xdr:colOff>95250</xdr:colOff>
      <xdr:row>110</xdr:row>
      <xdr:rowOff>104775</xdr:rowOff>
    </xdr:to>
    <xdr:pic>
      <xdr:nvPicPr>
        <xdr:cNvPr id="109" name="Grafik 12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2288500"/>
          <a:ext cx="95250" cy="104775"/>
        </a:xfrm>
        <a:prstGeom prst="rect">
          <a:avLst/>
        </a:prstGeom>
        <a:noFill/>
        <a:ln w="9525">
          <a:noFill/>
          <a:miter lim="800000"/>
          <a:headEnd/>
          <a:tailEnd/>
        </a:ln>
      </xdr:spPr>
    </xdr:pic>
    <xdr:clientData/>
  </xdr:twoCellAnchor>
  <xdr:twoCellAnchor editAs="oneCell">
    <xdr:from>
      <xdr:col>3</xdr:col>
      <xdr:colOff>0</xdr:colOff>
      <xdr:row>111</xdr:row>
      <xdr:rowOff>0</xdr:rowOff>
    </xdr:from>
    <xdr:to>
      <xdr:col>3</xdr:col>
      <xdr:colOff>95250</xdr:colOff>
      <xdr:row>111</xdr:row>
      <xdr:rowOff>114300</xdr:rowOff>
    </xdr:to>
    <xdr:pic>
      <xdr:nvPicPr>
        <xdr:cNvPr id="110" name="Grafik 12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2488525"/>
          <a:ext cx="95250" cy="104775"/>
        </a:xfrm>
        <a:prstGeom prst="rect">
          <a:avLst/>
        </a:prstGeom>
        <a:noFill/>
        <a:ln w="9525">
          <a:noFill/>
          <a:miter lim="800000"/>
          <a:headEnd/>
          <a:tailEnd/>
        </a:ln>
      </xdr:spPr>
    </xdr:pic>
    <xdr:clientData/>
  </xdr:twoCellAnchor>
  <xdr:twoCellAnchor editAs="oneCell">
    <xdr:from>
      <xdr:col>3</xdr:col>
      <xdr:colOff>0</xdr:colOff>
      <xdr:row>112</xdr:row>
      <xdr:rowOff>0</xdr:rowOff>
    </xdr:from>
    <xdr:to>
      <xdr:col>3</xdr:col>
      <xdr:colOff>95250</xdr:colOff>
      <xdr:row>112</xdr:row>
      <xdr:rowOff>104775</xdr:rowOff>
    </xdr:to>
    <xdr:pic>
      <xdr:nvPicPr>
        <xdr:cNvPr id="111" name="Grafik 12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2688550"/>
          <a:ext cx="95250" cy="104775"/>
        </a:xfrm>
        <a:prstGeom prst="rect">
          <a:avLst/>
        </a:prstGeom>
        <a:noFill/>
        <a:ln w="9525">
          <a:noFill/>
          <a:miter lim="800000"/>
          <a:headEnd/>
          <a:tailEnd/>
        </a:ln>
      </xdr:spPr>
    </xdr:pic>
    <xdr:clientData/>
  </xdr:twoCellAnchor>
  <xdr:twoCellAnchor editAs="oneCell">
    <xdr:from>
      <xdr:col>3</xdr:col>
      <xdr:colOff>0</xdr:colOff>
      <xdr:row>113</xdr:row>
      <xdr:rowOff>0</xdr:rowOff>
    </xdr:from>
    <xdr:to>
      <xdr:col>3</xdr:col>
      <xdr:colOff>95250</xdr:colOff>
      <xdr:row>113</xdr:row>
      <xdr:rowOff>114300</xdr:rowOff>
    </xdr:to>
    <xdr:pic>
      <xdr:nvPicPr>
        <xdr:cNvPr id="112" name="Grafik 12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2888575"/>
          <a:ext cx="95250" cy="104775"/>
        </a:xfrm>
        <a:prstGeom prst="rect">
          <a:avLst/>
        </a:prstGeom>
        <a:noFill/>
        <a:ln w="9525">
          <a:noFill/>
          <a:miter lim="800000"/>
          <a:headEnd/>
          <a:tailEnd/>
        </a:ln>
      </xdr:spPr>
    </xdr:pic>
    <xdr:clientData/>
  </xdr:twoCellAnchor>
  <xdr:twoCellAnchor editAs="oneCell">
    <xdr:from>
      <xdr:col>3</xdr:col>
      <xdr:colOff>0</xdr:colOff>
      <xdr:row>114</xdr:row>
      <xdr:rowOff>0</xdr:rowOff>
    </xdr:from>
    <xdr:to>
      <xdr:col>3</xdr:col>
      <xdr:colOff>95250</xdr:colOff>
      <xdr:row>114</xdr:row>
      <xdr:rowOff>104775</xdr:rowOff>
    </xdr:to>
    <xdr:pic>
      <xdr:nvPicPr>
        <xdr:cNvPr id="113" name="Grafik 12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3088600"/>
          <a:ext cx="95250" cy="104775"/>
        </a:xfrm>
        <a:prstGeom prst="rect">
          <a:avLst/>
        </a:prstGeom>
        <a:noFill/>
        <a:ln w="9525">
          <a:noFill/>
          <a:miter lim="800000"/>
          <a:headEnd/>
          <a:tailEnd/>
        </a:ln>
      </xdr:spPr>
    </xdr:pic>
    <xdr:clientData/>
  </xdr:twoCellAnchor>
  <xdr:twoCellAnchor editAs="oneCell">
    <xdr:from>
      <xdr:col>3</xdr:col>
      <xdr:colOff>0</xdr:colOff>
      <xdr:row>115</xdr:row>
      <xdr:rowOff>0</xdr:rowOff>
    </xdr:from>
    <xdr:to>
      <xdr:col>3</xdr:col>
      <xdr:colOff>95250</xdr:colOff>
      <xdr:row>115</xdr:row>
      <xdr:rowOff>114300</xdr:rowOff>
    </xdr:to>
    <xdr:pic>
      <xdr:nvPicPr>
        <xdr:cNvPr id="114" name="Grafik 12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3288625"/>
          <a:ext cx="95250" cy="104775"/>
        </a:xfrm>
        <a:prstGeom prst="rect">
          <a:avLst/>
        </a:prstGeom>
        <a:noFill/>
        <a:ln w="9525">
          <a:noFill/>
          <a:miter lim="800000"/>
          <a:headEnd/>
          <a:tailEnd/>
        </a:ln>
      </xdr:spPr>
    </xdr:pic>
    <xdr:clientData/>
  </xdr:twoCellAnchor>
  <xdr:twoCellAnchor editAs="oneCell">
    <xdr:from>
      <xdr:col>3</xdr:col>
      <xdr:colOff>0</xdr:colOff>
      <xdr:row>116</xdr:row>
      <xdr:rowOff>0</xdr:rowOff>
    </xdr:from>
    <xdr:to>
      <xdr:col>3</xdr:col>
      <xdr:colOff>95250</xdr:colOff>
      <xdr:row>116</xdr:row>
      <xdr:rowOff>104775</xdr:rowOff>
    </xdr:to>
    <xdr:pic>
      <xdr:nvPicPr>
        <xdr:cNvPr id="115" name="Grafik 12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3488650"/>
          <a:ext cx="95250" cy="104775"/>
        </a:xfrm>
        <a:prstGeom prst="rect">
          <a:avLst/>
        </a:prstGeom>
        <a:noFill/>
        <a:ln w="9525">
          <a:noFill/>
          <a:miter lim="800000"/>
          <a:headEnd/>
          <a:tailEnd/>
        </a:ln>
      </xdr:spPr>
    </xdr:pic>
    <xdr:clientData/>
  </xdr:twoCellAnchor>
  <xdr:twoCellAnchor editAs="oneCell">
    <xdr:from>
      <xdr:col>3</xdr:col>
      <xdr:colOff>0</xdr:colOff>
      <xdr:row>117</xdr:row>
      <xdr:rowOff>0</xdr:rowOff>
    </xdr:from>
    <xdr:to>
      <xdr:col>3</xdr:col>
      <xdr:colOff>95250</xdr:colOff>
      <xdr:row>117</xdr:row>
      <xdr:rowOff>114300</xdr:rowOff>
    </xdr:to>
    <xdr:pic>
      <xdr:nvPicPr>
        <xdr:cNvPr id="116" name="Grafik 13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3688675"/>
          <a:ext cx="95250" cy="104775"/>
        </a:xfrm>
        <a:prstGeom prst="rect">
          <a:avLst/>
        </a:prstGeom>
        <a:noFill/>
        <a:ln w="9525">
          <a:noFill/>
          <a:miter lim="800000"/>
          <a:headEnd/>
          <a:tailEnd/>
        </a:ln>
      </xdr:spPr>
    </xdr:pic>
    <xdr:clientData/>
  </xdr:twoCellAnchor>
  <xdr:twoCellAnchor editAs="oneCell">
    <xdr:from>
      <xdr:col>3</xdr:col>
      <xdr:colOff>0</xdr:colOff>
      <xdr:row>118</xdr:row>
      <xdr:rowOff>0</xdr:rowOff>
    </xdr:from>
    <xdr:to>
      <xdr:col>3</xdr:col>
      <xdr:colOff>95250</xdr:colOff>
      <xdr:row>118</xdr:row>
      <xdr:rowOff>104775</xdr:rowOff>
    </xdr:to>
    <xdr:pic>
      <xdr:nvPicPr>
        <xdr:cNvPr id="117" name="Grafik 13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3888700"/>
          <a:ext cx="95250" cy="104775"/>
        </a:xfrm>
        <a:prstGeom prst="rect">
          <a:avLst/>
        </a:prstGeom>
        <a:noFill/>
        <a:ln w="9525">
          <a:noFill/>
          <a:miter lim="800000"/>
          <a:headEnd/>
          <a:tailEnd/>
        </a:ln>
      </xdr:spPr>
    </xdr:pic>
    <xdr:clientData/>
  </xdr:twoCellAnchor>
  <xdr:twoCellAnchor editAs="oneCell">
    <xdr:from>
      <xdr:col>3</xdr:col>
      <xdr:colOff>0</xdr:colOff>
      <xdr:row>119</xdr:row>
      <xdr:rowOff>0</xdr:rowOff>
    </xdr:from>
    <xdr:to>
      <xdr:col>3</xdr:col>
      <xdr:colOff>95250</xdr:colOff>
      <xdr:row>119</xdr:row>
      <xdr:rowOff>114300</xdr:rowOff>
    </xdr:to>
    <xdr:pic>
      <xdr:nvPicPr>
        <xdr:cNvPr id="118" name="Grafik 13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4088725"/>
          <a:ext cx="95250" cy="104775"/>
        </a:xfrm>
        <a:prstGeom prst="rect">
          <a:avLst/>
        </a:prstGeom>
        <a:noFill/>
        <a:ln w="9525">
          <a:noFill/>
          <a:miter lim="800000"/>
          <a:headEnd/>
          <a:tailEnd/>
        </a:ln>
      </xdr:spPr>
    </xdr:pic>
    <xdr:clientData/>
  </xdr:twoCellAnchor>
  <xdr:twoCellAnchor editAs="oneCell">
    <xdr:from>
      <xdr:col>3</xdr:col>
      <xdr:colOff>0</xdr:colOff>
      <xdr:row>120</xdr:row>
      <xdr:rowOff>0</xdr:rowOff>
    </xdr:from>
    <xdr:to>
      <xdr:col>3</xdr:col>
      <xdr:colOff>95250</xdr:colOff>
      <xdr:row>120</xdr:row>
      <xdr:rowOff>104775</xdr:rowOff>
    </xdr:to>
    <xdr:pic>
      <xdr:nvPicPr>
        <xdr:cNvPr id="119" name="Grafik 13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4288750"/>
          <a:ext cx="95250" cy="104775"/>
        </a:xfrm>
        <a:prstGeom prst="rect">
          <a:avLst/>
        </a:prstGeom>
        <a:noFill/>
        <a:ln w="9525">
          <a:noFill/>
          <a:miter lim="800000"/>
          <a:headEnd/>
          <a:tailEnd/>
        </a:ln>
      </xdr:spPr>
    </xdr:pic>
    <xdr:clientData/>
  </xdr:twoCellAnchor>
  <xdr:twoCellAnchor editAs="oneCell">
    <xdr:from>
      <xdr:col>3</xdr:col>
      <xdr:colOff>0</xdr:colOff>
      <xdr:row>121</xdr:row>
      <xdr:rowOff>0</xdr:rowOff>
    </xdr:from>
    <xdr:to>
      <xdr:col>3</xdr:col>
      <xdr:colOff>95250</xdr:colOff>
      <xdr:row>121</xdr:row>
      <xdr:rowOff>114300</xdr:rowOff>
    </xdr:to>
    <xdr:pic>
      <xdr:nvPicPr>
        <xdr:cNvPr id="120" name="Grafik 13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4488775"/>
          <a:ext cx="95250" cy="104775"/>
        </a:xfrm>
        <a:prstGeom prst="rect">
          <a:avLst/>
        </a:prstGeom>
        <a:noFill/>
        <a:ln w="9525">
          <a:noFill/>
          <a:miter lim="800000"/>
          <a:headEnd/>
          <a:tailEnd/>
        </a:ln>
      </xdr:spPr>
    </xdr:pic>
    <xdr:clientData/>
  </xdr:twoCellAnchor>
  <xdr:twoCellAnchor editAs="oneCell">
    <xdr:from>
      <xdr:col>3</xdr:col>
      <xdr:colOff>0</xdr:colOff>
      <xdr:row>122</xdr:row>
      <xdr:rowOff>0</xdr:rowOff>
    </xdr:from>
    <xdr:to>
      <xdr:col>3</xdr:col>
      <xdr:colOff>95250</xdr:colOff>
      <xdr:row>122</xdr:row>
      <xdr:rowOff>104775</xdr:rowOff>
    </xdr:to>
    <xdr:pic>
      <xdr:nvPicPr>
        <xdr:cNvPr id="121" name="Grafik 13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4688800"/>
          <a:ext cx="95250" cy="104775"/>
        </a:xfrm>
        <a:prstGeom prst="rect">
          <a:avLst/>
        </a:prstGeom>
        <a:noFill/>
        <a:ln w="9525">
          <a:noFill/>
          <a:miter lim="800000"/>
          <a:headEnd/>
          <a:tailEnd/>
        </a:ln>
      </xdr:spPr>
    </xdr:pic>
    <xdr:clientData/>
  </xdr:twoCellAnchor>
  <xdr:twoCellAnchor editAs="oneCell">
    <xdr:from>
      <xdr:col>3</xdr:col>
      <xdr:colOff>0</xdr:colOff>
      <xdr:row>123</xdr:row>
      <xdr:rowOff>0</xdr:rowOff>
    </xdr:from>
    <xdr:to>
      <xdr:col>3</xdr:col>
      <xdr:colOff>95250</xdr:colOff>
      <xdr:row>123</xdr:row>
      <xdr:rowOff>114300</xdr:rowOff>
    </xdr:to>
    <xdr:pic>
      <xdr:nvPicPr>
        <xdr:cNvPr id="122" name="Grafik 13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4888825"/>
          <a:ext cx="95250" cy="104775"/>
        </a:xfrm>
        <a:prstGeom prst="rect">
          <a:avLst/>
        </a:prstGeom>
        <a:noFill/>
        <a:ln w="9525">
          <a:noFill/>
          <a:miter lim="800000"/>
          <a:headEnd/>
          <a:tailEnd/>
        </a:ln>
      </xdr:spPr>
    </xdr:pic>
    <xdr:clientData/>
  </xdr:twoCellAnchor>
  <xdr:twoCellAnchor editAs="oneCell">
    <xdr:from>
      <xdr:col>3</xdr:col>
      <xdr:colOff>0</xdr:colOff>
      <xdr:row>124</xdr:row>
      <xdr:rowOff>0</xdr:rowOff>
    </xdr:from>
    <xdr:to>
      <xdr:col>3</xdr:col>
      <xdr:colOff>95250</xdr:colOff>
      <xdr:row>124</xdr:row>
      <xdr:rowOff>104775</xdr:rowOff>
    </xdr:to>
    <xdr:pic>
      <xdr:nvPicPr>
        <xdr:cNvPr id="123" name="Grafik 13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5088850"/>
          <a:ext cx="95250" cy="104775"/>
        </a:xfrm>
        <a:prstGeom prst="rect">
          <a:avLst/>
        </a:prstGeom>
        <a:noFill/>
        <a:ln w="9525">
          <a:noFill/>
          <a:miter lim="800000"/>
          <a:headEnd/>
          <a:tailEnd/>
        </a:ln>
      </xdr:spPr>
    </xdr:pic>
    <xdr:clientData/>
  </xdr:twoCellAnchor>
  <xdr:twoCellAnchor editAs="oneCell">
    <xdr:from>
      <xdr:col>3</xdr:col>
      <xdr:colOff>0</xdr:colOff>
      <xdr:row>125</xdr:row>
      <xdr:rowOff>0</xdr:rowOff>
    </xdr:from>
    <xdr:to>
      <xdr:col>3</xdr:col>
      <xdr:colOff>95250</xdr:colOff>
      <xdr:row>125</xdr:row>
      <xdr:rowOff>114300</xdr:rowOff>
    </xdr:to>
    <xdr:pic>
      <xdr:nvPicPr>
        <xdr:cNvPr id="124" name="Grafik 13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5288875"/>
          <a:ext cx="95250" cy="104775"/>
        </a:xfrm>
        <a:prstGeom prst="rect">
          <a:avLst/>
        </a:prstGeom>
        <a:noFill/>
        <a:ln w="9525">
          <a:noFill/>
          <a:miter lim="800000"/>
          <a:headEnd/>
          <a:tailEnd/>
        </a:ln>
      </xdr:spPr>
    </xdr:pic>
    <xdr:clientData/>
  </xdr:twoCellAnchor>
  <xdr:twoCellAnchor editAs="oneCell">
    <xdr:from>
      <xdr:col>3</xdr:col>
      <xdr:colOff>0</xdr:colOff>
      <xdr:row>126</xdr:row>
      <xdr:rowOff>0</xdr:rowOff>
    </xdr:from>
    <xdr:to>
      <xdr:col>3</xdr:col>
      <xdr:colOff>95250</xdr:colOff>
      <xdr:row>126</xdr:row>
      <xdr:rowOff>104775</xdr:rowOff>
    </xdr:to>
    <xdr:pic>
      <xdr:nvPicPr>
        <xdr:cNvPr id="125" name="Grafik 13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5488900"/>
          <a:ext cx="95250" cy="104775"/>
        </a:xfrm>
        <a:prstGeom prst="rect">
          <a:avLst/>
        </a:prstGeom>
        <a:noFill/>
        <a:ln w="9525">
          <a:noFill/>
          <a:miter lim="800000"/>
          <a:headEnd/>
          <a:tailEnd/>
        </a:ln>
      </xdr:spPr>
    </xdr:pic>
    <xdr:clientData/>
  </xdr:twoCellAnchor>
  <xdr:twoCellAnchor editAs="oneCell">
    <xdr:from>
      <xdr:col>3</xdr:col>
      <xdr:colOff>0</xdr:colOff>
      <xdr:row>127</xdr:row>
      <xdr:rowOff>0</xdr:rowOff>
    </xdr:from>
    <xdr:to>
      <xdr:col>3</xdr:col>
      <xdr:colOff>95250</xdr:colOff>
      <xdr:row>127</xdr:row>
      <xdr:rowOff>114300</xdr:rowOff>
    </xdr:to>
    <xdr:pic>
      <xdr:nvPicPr>
        <xdr:cNvPr id="126" name="Grafik 14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5688925"/>
          <a:ext cx="95250" cy="104775"/>
        </a:xfrm>
        <a:prstGeom prst="rect">
          <a:avLst/>
        </a:prstGeom>
        <a:noFill/>
        <a:ln w="9525">
          <a:noFill/>
          <a:miter lim="800000"/>
          <a:headEnd/>
          <a:tailEnd/>
        </a:ln>
      </xdr:spPr>
    </xdr:pic>
    <xdr:clientData/>
  </xdr:twoCellAnchor>
  <xdr:twoCellAnchor editAs="oneCell">
    <xdr:from>
      <xdr:col>3</xdr:col>
      <xdr:colOff>0</xdr:colOff>
      <xdr:row>128</xdr:row>
      <xdr:rowOff>0</xdr:rowOff>
    </xdr:from>
    <xdr:to>
      <xdr:col>3</xdr:col>
      <xdr:colOff>95250</xdr:colOff>
      <xdr:row>128</xdr:row>
      <xdr:rowOff>104775</xdr:rowOff>
    </xdr:to>
    <xdr:pic>
      <xdr:nvPicPr>
        <xdr:cNvPr id="127" name="Grafik 14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5888950"/>
          <a:ext cx="95250" cy="104775"/>
        </a:xfrm>
        <a:prstGeom prst="rect">
          <a:avLst/>
        </a:prstGeom>
        <a:noFill/>
        <a:ln w="9525">
          <a:noFill/>
          <a:miter lim="800000"/>
          <a:headEnd/>
          <a:tailEnd/>
        </a:ln>
      </xdr:spPr>
    </xdr:pic>
    <xdr:clientData/>
  </xdr:twoCellAnchor>
  <xdr:twoCellAnchor editAs="oneCell">
    <xdr:from>
      <xdr:col>3</xdr:col>
      <xdr:colOff>0</xdr:colOff>
      <xdr:row>129</xdr:row>
      <xdr:rowOff>0</xdr:rowOff>
    </xdr:from>
    <xdr:to>
      <xdr:col>3</xdr:col>
      <xdr:colOff>95250</xdr:colOff>
      <xdr:row>129</xdr:row>
      <xdr:rowOff>114300</xdr:rowOff>
    </xdr:to>
    <xdr:pic>
      <xdr:nvPicPr>
        <xdr:cNvPr id="128" name="Grafik 14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6088975"/>
          <a:ext cx="95250" cy="104775"/>
        </a:xfrm>
        <a:prstGeom prst="rect">
          <a:avLst/>
        </a:prstGeom>
        <a:noFill/>
        <a:ln w="9525">
          <a:noFill/>
          <a:miter lim="800000"/>
          <a:headEnd/>
          <a:tailEnd/>
        </a:ln>
      </xdr:spPr>
    </xdr:pic>
    <xdr:clientData/>
  </xdr:twoCellAnchor>
  <xdr:twoCellAnchor editAs="oneCell">
    <xdr:from>
      <xdr:col>3</xdr:col>
      <xdr:colOff>0</xdr:colOff>
      <xdr:row>130</xdr:row>
      <xdr:rowOff>0</xdr:rowOff>
    </xdr:from>
    <xdr:to>
      <xdr:col>3</xdr:col>
      <xdr:colOff>95250</xdr:colOff>
      <xdr:row>130</xdr:row>
      <xdr:rowOff>104775</xdr:rowOff>
    </xdr:to>
    <xdr:pic>
      <xdr:nvPicPr>
        <xdr:cNvPr id="129" name="Grafik 14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6289000"/>
          <a:ext cx="95250" cy="104775"/>
        </a:xfrm>
        <a:prstGeom prst="rect">
          <a:avLst/>
        </a:prstGeom>
        <a:noFill/>
        <a:ln w="9525">
          <a:noFill/>
          <a:miter lim="800000"/>
          <a:headEnd/>
          <a:tailEnd/>
        </a:ln>
      </xdr:spPr>
    </xdr:pic>
    <xdr:clientData/>
  </xdr:twoCellAnchor>
  <xdr:twoCellAnchor editAs="oneCell">
    <xdr:from>
      <xdr:col>3</xdr:col>
      <xdr:colOff>0</xdr:colOff>
      <xdr:row>131</xdr:row>
      <xdr:rowOff>0</xdr:rowOff>
    </xdr:from>
    <xdr:to>
      <xdr:col>3</xdr:col>
      <xdr:colOff>95250</xdr:colOff>
      <xdr:row>131</xdr:row>
      <xdr:rowOff>114300</xdr:rowOff>
    </xdr:to>
    <xdr:pic>
      <xdr:nvPicPr>
        <xdr:cNvPr id="130" name="Grafik 14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6489025"/>
          <a:ext cx="95250" cy="104775"/>
        </a:xfrm>
        <a:prstGeom prst="rect">
          <a:avLst/>
        </a:prstGeom>
        <a:noFill/>
        <a:ln w="9525">
          <a:noFill/>
          <a:miter lim="800000"/>
          <a:headEnd/>
          <a:tailEnd/>
        </a:ln>
      </xdr:spPr>
    </xdr:pic>
    <xdr:clientData/>
  </xdr:twoCellAnchor>
  <xdr:twoCellAnchor editAs="oneCell">
    <xdr:from>
      <xdr:col>3</xdr:col>
      <xdr:colOff>0</xdr:colOff>
      <xdr:row>132</xdr:row>
      <xdr:rowOff>0</xdr:rowOff>
    </xdr:from>
    <xdr:to>
      <xdr:col>3</xdr:col>
      <xdr:colOff>95250</xdr:colOff>
      <xdr:row>132</xdr:row>
      <xdr:rowOff>104775</xdr:rowOff>
    </xdr:to>
    <xdr:pic>
      <xdr:nvPicPr>
        <xdr:cNvPr id="131" name="Grafik 14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6689050"/>
          <a:ext cx="95250" cy="104775"/>
        </a:xfrm>
        <a:prstGeom prst="rect">
          <a:avLst/>
        </a:prstGeom>
        <a:noFill/>
        <a:ln w="9525">
          <a:noFill/>
          <a:miter lim="800000"/>
          <a:headEnd/>
          <a:tailEnd/>
        </a:ln>
      </xdr:spPr>
    </xdr:pic>
    <xdr:clientData/>
  </xdr:twoCellAnchor>
  <xdr:twoCellAnchor editAs="oneCell">
    <xdr:from>
      <xdr:col>3</xdr:col>
      <xdr:colOff>0</xdr:colOff>
      <xdr:row>133</xdr:row>
      <xdr:rowOff>0</xdr:rowOff>
    </xdr:from>
    <xdr:to>
      <xdr:col>3</xdr:col>
      <xdr:colOff>95250</xdr:colOff>
      <xdr:row>133</xdr:row>
      <xdr:rowOff>114300</xdr:rowOff>
    </xdr:to>
    <xdr:pic>
      <xdr:nvPicPr>
        <xdr:cNvPr id="132" name="Grafik 14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6889075"/>
          <a:ext cx="95250" cy="104775"/>
        </a:xfrm>
        <a:prstGeom prst="rect">
          <a:avLst/>
        </a:prstGeom>
        <a:noFill/>
        <a:ln w="9525">
          <a:noFill/>
          <a:miter lim="800000"/>
          <a:headEnd/>
          <a:tailEnd/>
        </a:ln>
      </xdr:spPr>
    </xdr:pic>
    <xdr:clientData/>
  </xdr:twoCellAnchor>
  <xdr:twoCellAnchor editAs="oneCell">
    <xdr:from>
      <xdr:col>3</xdr:col>
      <xdr:colOff>0</xdr:colOff>
      <xdr:row>134</xdr:row>
      <xdr:rowOff>0</xdr:rowOff>
    </xdr:from>
    <xdr:to>
      <xdr:col>3</xdr:col>
      <xdr:colOff>95250</xdr:colOff>
      <xdr:row>134</xdr:row>
      <xdr:rowOff>104775</xdr:rowOff>
    </xdr:to>
    <xdr:pic>
      <xdr:nvPicPr>
        <xdr:cNvPr id="133" name="Grafik 14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7089100"/>
          <a:ext cx="95250" cy="104775"/>
        </a:xfrm>
        <a:prstGeom prst="rect">
          <a:avLst/>
        </a:prstGeom>
        <a:noFill/>
        <a:ln w="9525">
          <a:noFill/>
          <a:miter lim="800000"/>
          <a:headEnd/>
          <a:tailEnd/>
        </a:ln>
      </xdr:spPr>
    </xdr:pic>
    <xdr:clientData/>
  </xdr:twoCellAnchor>
  <xdr:twoCellAnchor editAs="oneCell">
    <xdr:from>
      <xdr:col>3</xdr:col>
      <xdr:colOff>0</xdr:colOff>
      <xdr:row>135</xdr:row>
      <xdr:rowOff>0</xdr:rowOff>
    </xdr:from>
    <xdr:to>
      <xdr:col>3</xdr:col>
      <xdr:colOff>95250</xdr:colOff>
      <xdr:row>135</xdr:row>
      <xdr:rowOff>114300</xdr:rowOff>
    </xdr:to>
    <xdr:pic>
      <xdr:nvPicPr>
        <xdr:cNvPr id="134" name="Grafik 14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7289125"/>
          <a:ext cx="95250" cy="104775"/>
        </a:xfrm>
        <a:prstGeom prst="rect">
          <a:avLst/>
        </a:prstGeom>
        <a:noFill/>
        <a:ln w="9525">
          <a:noFill/>
          <a:miter lim="800000"/>
          <a:headEnd/>
          <a:tailEnd/>
        </a:ln>
      </xdr:spPr>
    </xdr:pic>
    <xdr:clientData/>
  </xdr:twoCellAnchor>
  <xdr:twoCellAnchor editAs="oneCell">
    <xdr:from>
      <xdr:col>3</xdr:col>
      <xdr:colOff>0</xdr:colOff>
      <xdr:row>136</xdr:row>
      <xdr:rowOff>0</xdr:rowOff>
    </xdr:from>
    <xdr:to>
      <xdr:col>3</xdr:col>
      <xdr:colOff>95250</xdr:colOff>
      <xdr:row>136</xdr:row>
      <xdr:rowOff>104775</xdr:rowOff>
    </xdr:to>
    <xdr:pic>
      <xdr:nvPicPr>
        <xdr:cNvPr id="135" name="Grafik 14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7489150"/>
          <a:ext cx="95250" cy="104775"/>
        </a:xfrm>
        <a:prstGeom prst="rect">
          <a:avLst/>
        </a:prstGeom>
        <a:noFill/>
        <a:ln w="9525">
          <a:noFill/>
          <a:miter lim="800000"/>
          <a:headEnd/>
          <a:tailEnd/>
        </a:ln>
      </xdr:spPr>
    </xdr:pic>
    <xdr:clientData/>
  </xdr:twoCellAnchor>
  <xdr:twoCellAnchor editAs="oneCell">
    <xdr:from>
      <xdr:col>3</xdr:col>
      <xdr:colOff>0</xdr:colOff>
      <xdr:row>137</xdr:row>
      <xdr:rowOff>0</xdr:rowOff>
    </xdr:from>
    <xdr:to>
      <xdr:col>3</xdr:col>
      <xdr:colOff>95250</xdr:colOff>
      <xdr:row>137</xdr:row>
      <xdr:rowOff>114300</xdr:rowOff>
    </xdr:to>
    <xdr:pic>
      <xdr:nvPicPr>
        <xdr:cNvPr id="136" name="Grafik 15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7689175"/>
          <a:ext cx="95250" cy="104775"/>
        </a:xfrm>
        <a:prstGeom prst="rect">
          <a:avLst/>
        </a:prstGeom>
        <a:noFill/>
        <a:ln w="9525">
          <a:noFill/>
          <a:miter lim="800000"/>
          <a:headEnd/>
          <a:tailEnd/>
        </a:ln>
      </xdr:spPr>
    </xdr:pic>
    <xdr:clientData/>
  </xdr:twoCellAnchor>
  <xdr:twoCellAnchor editAs="oneCell">
    <xdr:from>
      <xdr:col>3</xdr:col>
      <xdr:colOff>0</xdr:colOff>
      <xdr:row>138</xdr:row>
      <xdr:rowOff>0</xdr:rowOff>
    </xdr:from>
    <xdr:to>
      <xdr:col>3</xdr:col>
      <xdr:colOff>95250</xdr:colOff>
      <xdr:row>138</xdr:row>
      <xdr:rowOff>104775</xdr:rowOff>
    </xdr:to>
    <xdr:pic>
      <xdr:nvPicPr>
        <xdr:cNvPr id="137" name="Grafik 15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7889200"/>
          <a:ext cx="95250" cy="104775"/>
        </a:xfrm>
        <a:prstGeom prst="rect">
          <a:avLst/>
        </a:prstGeom>
        <a:noFill/>
        <a:ln w="9525">
          <a:noFill/>
          <a:miter lim="800000"/>
          <a:headEnd/>
          <a:tailEnd/>
        </a:ln>
      </xdr:spPr>
    </xdr:pic>
    <xdr:clientData/>
  </xdr:twoCellAnchor>
  <xdr:twoCellAnchor editAs="oneCell">
    <xdr:from>
      <xdr:col>3</xdr:col>
      <xdr:colOff>0</xdr:colOff>
      <xdr:row>139</xdr:row>
      <xdr:rowOff>0</xdr:rowOff>
    </xdr:from>
    <xdr:to>
      <xdr:col>3</xdr:col>
      <xdr:colOff>95250</xdr:colOff>
      <xdr:row>139</xdr:row>
      <xdr:rowOff>114300</xdr:rowOff>
    </xdr:to>
    <xdr:pic>
      <xdr:nvPicPr>
        <xdr:cNvPr id="138" name="Grafik 15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8089225"/>
          <a:ext cx="95250" cy="104775"/>
        </a:xfrm>
        <a:prstGeom prst="rect">
          <a:avLst/>
        </a:prstGeom>
        <a:noFill/>
        <a:ln w="9525">
          <a:noFill/>
          <a:miter lim="800000"/>
          <a:headEnd/>
          <a:tailEnd/>
        </a:ln>
      </xdr:spPr>
    </xdr:pic>
    <xdr:clientData/>
  </xdr:twoCellAnchor>
  <xdr:twoCellAnchor editAs="oneCell">
    <xdr:from>
      <xdr:col>3</xdr:col>
      <xdr:colOff>0</xdr:colOff>
      <xdr:row>140</xdr:row>
      <xdr:rowOff>0</xdr:rowOff>
    </xdr:from>
    <xdr:to>
      <xdr:col>3</xdr:col>
      <xdr:colOff>95250</xdr:colOff>
      <xdr:row>140</xdr:row>
      <xdr:rowOff>104775</xdr:rowOff>
    </xdr:to>
    <xdr:pic>
      <xdr:nvPicPr>
        <xdr:cNvPr id="139" name="Grafik 15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8289250"/>
          <a:ext cx="95250" cy="104775"/>
        </a:xfrm>
        <a:prstGeom prst="rect">
          <a:avLst/>
        </a:prstGeom>
        <a:noFill/>
        <a:ln w="9525">
          <a:noFill/>
          <a:miter lim="800000"/>
          <a:headEnd/>
          <a:tailEnd/>
        </a:ln>
      </xdr:spPr>
    </xdr:pic>
    <xdr:clientData/>
  </xdr:twoCellAnchor>
  <xdr:twoCellAnchor editAs="oneCell">
    <xdr:from>
      <xdr:col>3</xdr:col>
      <xdr:colOff>0</xdr:colOff>
      <xdr:row>141</xdr:row>
      <xdr:rowOff>0</xdr:rowOff>
    </xdr:from>
    <xdr:to>
      <xdr:col>3</xdr:col>
      <xdr:colOff>95250</xdr:colOff>
      <xdr:row>141</xdr:row>
      <xdr:rowOff>114300</xdr:rowOff>
    </xdr:to>
    <xdr:pic>
      <xdr:nvPicPr>
        <xdr:cNvPr id="140" name="Grafik 15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8489275"/>
          <a:ext cx="95250" cy="104775"/>
        </a:xfrm>
        <a:prstGeom prst="rect">
          <a:avLst/>
        </a:prstGeom>
        <a:noFill/>
        <a:ln w="9525">
          <a:noFill/>
          <a:miter lim="800000"/>
          <a:headEnd/>
          <a:tailEnd/>
        </a:ln>
      </xdr:spPr>
    </xdr:pic>
    <xdr:clientData/>
  </xdr:twoCellAnchor>
  <xdr:twoCellAnchor editAs="oneCell">
    <xdr:from>
      <xdr:col>3</xdr:col>
      <xdr:colOff>0</xdr:colOff>
      <xdr:row>142</xdr:row>
      <xdr:rowOff>0</xdr:rowOff>
    </xdr:from>
    <xdr:to>
      <xdr:col>3</xdr:col>
      <xdr:colOff>95250</xdr:colOff>
      <xdr:row>142</xdr:row>
      <xdr:rowOff>104775</xdr:rowOff>
    </xdr:to>
    <xdr:pic>
      <xdr:nvPicPr>
        <xdr:cNvPr id="141" name="Grafik 15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8689300"/>
          <a:ext cx="95250" cy="104775"/>
        </a:xfrm>
        <a:prstGeom prst="rect">
          <a:avLst/>
        </a:prstGeom>
        <a:noFill/>
        <a:ln w="9525">
          <a:noFill/>
          <a:miter lim="800000"/>
          <a:headEnd/>
          <a:tailEnd/>
        </a:ln>
      </xdr:spPr>
    </xdr:pic>
    <xdr:clientData/>
  </xdr:twoCellAnchor>
  <xdr:twoCellAnchor editAs="oneCell">
    <xdr:from>
      <xdr:col>3</xdr:col>
      <xdr:colOff>0</xdr:colOff>
      <xdr:row>143</xdr:row>
      <xdr:rowOff>0</xdr:rowOff>
    </xdr:from>
    <xdr:to>
      <xdr:col>3</xdr:col>
      <xdr:colOff>95250</xdr:colOff>
      <xdr:row>143</xdr:row>
      <xdr:rowOff>114300</xdr:rowOff>
    </xdr:to>
    <xdr:pic>
      <xdr:nvPicPr>
        <xdr:cNvPr id="142" name="Grafik 15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8889325"/>
          <a:ext cx="95250" cy="104775"/>
        </a:xfrm>
        <a:prstGeom prst="rect">
          <a:avLst/>
        </a:prstGeom>
        <a:noFill/>
        <a:ln w="9525">
          <a:noFill/>
          <a:miter lim="800000"/>
          <a:headEnd/>
          <a:tailEnd/>
        </a:ln>
      </xdr:spPr>
    </xdr:pic>
    <xdr:clientData/>
  </xdr:twoCellAnchor>
  <xdr:twoCellAnchor editAs="oneCell">
    <xdr:from>
      <xdr:col>3</xdr:col>
      <xdr:colOff>0</xdr:colOff>
      <xdr:row>144</xdr:row>
      <xdr:rowOff>0</xdr:rowOff>
    </xdr:from>
    <xdr:to>
      <xdr:col>3</xdr:col>
      <xdr:colOff>95250</xdr:colOff>
      <xdr:row>144</xdr:row>
      <xdr:rowOff>104775</xdr:rowOff>
    </xdr:to>
    <xdr:pic>
      <xdr:nvPicPr>
        <xdr:cNvPr id="143" name="Grafik 15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9089350"/>
          <a:ext cx="95250" cy="104775"/>
        </a:xfrm>
        <a:prstGeom prst="rect">
          <a:avLst/>
        </a:prstGeom>
        <a:noFill/>
        <a:ln w="9525">
          <a:noFill/>
          <a:miter lim="800000"/>
          <a:headEnd/>
          <a:tailEnd/>
        </a:ln>
      </xdr:spPr>
    </xdr:pic>
    <xdr:clientData/>
  </xdr:twoCellAnchor>
  <xdr:twoCellAnchor editAs="oneCell">
    <xdr:from>
      <xdr:col>3</xdr:col>
      <xdr:colOff>0</xdr:colOff>
      <xdr:row>145</xdr:row>
      <xdr:rowOff>0</xdr:rowOff>
    </xdr:from>
    <xdr:to>
      <xdr:col>3</xdr:col>
      <xdr:colOff>95250</xdr:colOff>
      <xdr:row>145</xdr:row>
      <xdr:rowOff>114300</xdr:rowOff>
    </xdr:to>
    <xdr:pic>
      <xdr:nvPicPr>
        <xdr:cNvPr id="144" name="Grafik 15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9289375"/>
          <a:ext cx="95250" cy="104775"/>
        </a:xfrm>
        <a:prstGeom prst="rect">
          <a:avLst/>
        </a:prstGeom>
        <a:noFill/>
        <a:ln w="9525">
          <a:noFill/>
          <a:miter lim="800000"/>
          <a:headEnd/>
          <a:tailEnd/>
        </a:ln>
      </xdr:spPr>
    </xdr:pic>
    <xdr:clientData/>
  </xdr:twoCellAnchor>
  <xdr:twoCellAnchor editAs="oneCell">
    <xdr:from>
      <xdr:col>3</xdr:col>
      <xdr:colOff>0</xdr:colOff>
      <xdr:row>146</xdr:row>
      <xdr:rowOff>0</xdr:rowOff>
    </xdr:from>
    <xdr:to>
      <xdr:col>3</xdr:col>
      <xdr:colOff>95250</xdr:colOff>
      <xdr:row>146</xdr:row>
      <xdr:rowOff>104775</xdr:rowOff>
    </xdr:to>
    <xdr:pic>
      <xdr:nvPicPr>
        <xdr:cNvPr id="145" name="Grafik 15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9489400"/>
          <a:ext cx="95250" cy="104775"/>
        </a:xfrm>
        <a:prstGeom prst="rect">
          <a:avLst/>
        </a:prstGeom>
        <a:noFill/>
        <a:ln w="9525">
          <a:noFill/>
          <a:miter lim="800000"/>
          <a:headEnd/>
          <a:tailEnd/>
        </a:ln>
      </xdr:spPr>
    </xdr:pic>
    <xdr:clientData/>
  </xdr:twoCellAnchor>
  <xdr:twoCellAnchor editAs="oneCell">
    <xdr:from>
      <xdr:col>3</xdr:col>
      <xdr:colOff>0</xdr:colOff>
      <xdr:row>147</xdr:row>
      <xdr:rowOff>0</xdr:rowOff>
    </xdr:from>
    <xdr:to>
      <xdr:col>3</xdr:col>
      <xdr:colOff>95250</xdr:colOff>
      <xdr:row>147</xdr:row>
      <xdr:rowOff>114300</xdr:rowOff>
    </xdr:to>
    <xdr:pic>
      <xdr:nvPicPr>
        <xdr:cNvPr id="146" name="Grafik 16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9689425"/>
          <a:ext cx="95250" cy="104775"/>
        </a:xfrm>
        <a:prstGeom prst="rect">
          <a:avLst/>
        </a:prstGeom>
        <a:noFill/>
        <a:ln w="9525">
          <a:noFill/>
          <a:miter lim="800000"/>
          <a:headEnd/>
          <a:tailEnd/>
        </a:ln>
      </xdr:spPr>
    </xdr:pic>
    <xdr:clientData/>
  </xdr:twoCellAnchor>
  <xdr:twoCellAnchor editAs="oneCell">
    <xdr:from>
      <xdr:col>3</xdr:col>
      <xdr:colOff>0</xdr:colOff>
      <xdr:row>148</xdr:row>
      <xdr:rowOff>0</xdr:rowOff>
    </xdr:from>
    <xdr:to>
      <xdr:col>3</xdr:col>
      <xdr:colOff>95250</xdr:colOff>
      <xdr:row>148</xdr:row>
      <xdr:rowOff>104775</xdr:rowOff>
    </xdr:to>
    <xdr:pic>
      <xdr:nvPicPr>
        <xdr:cNvPr id="147" name="Grafik 16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29889450"/>
          <a:ext cx="95250" cy="104775"/>
        </a:xfrm>
        <a:prstGeom prst="rect">
          <a:avLst/>
        </a:prstGeom>
        <a:noFill/>
        <a:ln w="9525">
          <a:noFill/>
          <a:miter lim="800000"/>
          <a:headEnd/>
          <a:tailEnd/>
        </a:ln>
      </xdr:spPr>
    </xdr:pic>
    <xdr:clientData/>
  </xdr:twoCellAnchor>
  <xdr:twoCellAnchor editAs="oneCell">
    <xdr:from>
      <xdr:col>3</xdr:col>
      <xdr:colOff>0</xdr:colOff>
      <xdr:row>149</xdr:row>
      <xdr:rowOff>0</xdr:rowOff>
    </xdr:from>
    <xdr:to>
      <xdr:col>3</xdr:col>
      <xdr:colOff>95250</xdr:colOff>
      <xdr:row>149</xdr:row>
      <xdr:rowOff>114300</xdr:rowOff>
    </xdr:to>
    <xdr:pic>
      <xdr:nvPicPr>
        <xdr:cNvPr id="148" name="Grafik 16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0089475"/>
          <a:ext cx="95250" cy="104775"/>
        </a:xfrm>
        <a:prstGeom prst="rect">
          <a:avLst/>
        </a:prstGeom>
        <a:noFill/>
        <a:ln w="9525">
          <a:noFill/>
          <a:miter lim="800000"/>
          <a:headEnd/>
          <a:tailEnd/>
        </a:ln>
      </xdr:spPr>
    </xdr:pic>
    <xdr:clientData/>
  </xdr:twoCellAnchor>
  <xdr:twoCellAnchor editAs="oneCell">
    <xdr:from>
      <xdr:col>3</xdr:col>
      <xdr:colOff>0</xdr:colOff>
      <xdr:row>150</xdr:row>
      <xdr:rowOff>0</xdr:rowOff>
    </xdr:from>
    <xdr:to>
      <xdr:col>3</xdr:col>
      <xdr:colOff>95250</xdr:colOff>
      <xdr:row>150</xdr:row>
      <xdr:rowOff>104775</xdr:rowOff>
    </xdr:to>
    <xdr:pic>
      <xdr:nvPicPr>
        <xdr:cNvPr id="149" name="Grafik 16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0289500"/>
          <a:ext cx="95250" cy="104775"/>
        </a:xfrm>
        <a:prstGeom prst="rect">
          <a:avLst/>
        </a:prstGeom>
        <a:noFill/>
        <a:ln w="9525">
          <a:noFill/>
          <a:miter lim="800000"/>
          <a:headEnd/>
          <a:tailEnd/>
        </a:ln>
      </xdr:spPr>
    </xdr:pic>
    <xdr:clientData/>
  </xdr:twoCellAnchor>
  <xdr:twoCellAnchor editAs="oneCell">
    <xdr:from>
      <xdr:col>3</xdr:col>
      <xdr:colOff>0</xdr:colOff>
      <xdr:row>151</xdr:row>
      <xdr:rowOff>0</xdr:rowOff>
    </xdr:from>
    <xdr:to>
      <xdr:col>3</xdr:col>
      <xdr:colOff>95250</xdr:colOff>
      <xdr:row>151</xdr:row>
      <xdr:rowOff>114300</xdr:rowOff>
    </xdr:to>
    <xdr:pic>
      <xdr:nvPicPr>
        <xdr:cNvPr id="150" name="Grafik 16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0489525"/>
          <a:ext cx="95250" cy="104775"/>
        </a:xfrm>
        <a:prstGeom prst="rect">
          <a:avLst/>
        </a:prstGeom>
        <a:noFill/>
        <a:ln w="9525">
          <a:noFill/>
          <a:miter lim="800000"/>
          <a:headEnd/>
          <a:tailEnd/>
        </a:ln>
      </xdr:spPr>
    </xdr:pic>
    <xdr:clientData/>
  </xdr:twoCellAnchor>
  <xdr:twoCellAnchor editAs="oneCell">
    <xdr:from>
      <xdr:col>3</xdr:col>
      <xdr:colOff>0</xdr:colOff>
      <xdr:row>152</xdr:row>
      <xdr:rowOff>0</xdr:rowOff>
    </xdr:from>
    <xdr:to>
      <xdr:col>3</xdr:col>
      <xdr:colOff>95250</xdr:colOff>
      <xdr:row>152</xdr:row>
      <xdr:rowOff>104775</xdr:rowOff>
    </xdr:to>
    <xdr:pic>
      <xdr:nvPicPr>
        <xdr:cNvPr id="151" name="Grafik 16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0689550"/>
          <a:ext cx="95250" cy="104775"/>
        </a:xfrm>
        <a:prstGeom prst="rect">
          <a:avLst/>
        </a:prstGeom>
        <a:noFill/>
        <a:ln w="9525">
          <a:noFill/>
          <a:miter lim="800000"/>
          <a:headEnd/>
          <a:tailEnd/>
        </a:ln>
      </xdr:spPr>
    </xdr:pic>
    <xdr:clientData/>
  </xdr:twoCellAnchor>
  <xdr:twoCellAnchor editAs="oneCell">
    <xdr:from>
      <xdr:col>3</xdr:col>
      <xdr:colOff>0</xdr:colOff>
      <xdr:row>153</xdr:row>
      <xdr:rowOff>0</xdr:rowOff>
    </xdr:from>
    <xdr:to>
      <xdr:col>3</xdr:col>
      <xdr:colOff>95250</xdr:colOff>
      <xdr:row>153</xdr:row>
      <xdr:rowOff>114300</xdr:rowOff>
    </xdr:to>
    <xdr:pic>
      <xdr:nvPicPr>
        <xdr:cNvPr id="152" name="Grafik 16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0889575"/>
          <a:ext cx="95250" cy="104775"/>
        </a:xfrm>
        <a:prstGeom prst="rect">
          <a:avLst/>
        </a:prstGeom>
        <a:noFill/>
        <a:ln w="9525">
          <a:noFill/>
          <a:miter lim="800000"/>
          <a:headEnd/>
          <a:tailEnd/>
        </a:ln>
      </xdr:spPr>
    </xdr:pic>
    <xdr:clientData/>
  </xdr:twoCellAnchor>
  <xdr:twoCellAnchor editAs="oneCell">
    <xdr:from>
      <xdr:col>3</xdr:col>
      <xdr:colOff>0</xdr:colOff>
      <xdr:row>154</xdr:row>
      <xdr:rowOff>0</xdr:rowOff>
    </xdr:from>
    <xdr:to>
      <xdr:col>3</xdr:col>
      <xdr:colOff>95250</xdr:colOff>
      <xdr:row>154</xdr:row>
      <xdr:rowOff>104775</xdr:rowOff>
    </xdr:to>
    <xdr:pic>
      <xdr:nvPicPr>
        <xdr:cNvPr id="153" name="Grafik 16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1089600"/>
          <a:ext cx="95250" cy="104775"/>
        </a:xfrm>
        <a:prstGeom prst="rect">
          <a:avLst/>
        </a:prstGeom>
        <a:noFill/>
        <a:ln w="9525">
          <a:noFill/>
          <a:miter lim="800000"/>
          <a:headEnd/>
          <a:tailEnd/>
        </a:ln>
      </xdr:spPr>
    </xdr:pic>
    <xdr:clientData/>
  </xdr:twoCellAnchor>
  <xdr:twoCellAnchor editAs="oneCell">
    <xdr:from>
      <xdr:col>3</xdr:col>
      <xdr:colOff>0</xdr:colOff>
      <xdr:row>155</xdr:row>
      <xdr:rowOff>0</xdr:rowOff>
    </xdr:from>
    <xdr:to>
      <xdr:col>3</xdr:col>
      <xdr:colOff>95250</xdr:colOff>
      <xdr:row>155</xdr:row>
      <xdr:rowOff>114300</xdr:rowOff>
    </xdr:to>
    <xdr:pic>
      <xdr:nvPicPr>
        <xdr:cNvPr id="154" name="Grafik 16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1289625"/>
          <a:ext cx="95250" cy="104775"/>
        </a:xfrm>
        <a:prstGeom prst="rect">
          <a:avLst/>
        </a:prstGeom>
        <a:noFill/>
        <a:ln w="9525">
          <a:noFill/>
          <a:miter lim="800000"/>
          <a:headEnd/>
          <a:tailEnd/>
        </a:ln>
      </xdr:spPr>
    </xdr:pic>
    <xdr:clientData/>
  </xdr:twoCellAnchor>
  <xdr:twoCellAnchor editAs="oneCell">
    <xdr:from>
      <xdr:col>3</xdr:col>
      <xdr:colOff>0</xdr:colOff>
      <xdr:row>156</xdr:row>
      <xdr:rowOff>0</xdr:rowOff>
    </xdr:from>
    <xdr:to>
      <xdr:col>3</xdr:col>
      <xdr:colOff>95250</xdr:colOff>
      <xdr:row>156</xdr:row>
      <xdr:rowOff>104775</xdr:rowOff>
    </xdr:to>
    <xdr:pic>
      <xdr:nvPicPr>
        <xdr:cNvPr id="155" name="Grafik 16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1489650"/>
          <a:ext cx="95250" cy="104775"/>
        </a:xfrm>
        <a:prstGeom prst="rect">
          <a:avLst/>
        </a:prstGeom>
        <a:noFill/>
        <a:ln w="9525">
          <a:noFill/>
          <a:miter lim="800000"/>
          <a:headEnd/>
          <a:tailEnd/>
        </a:ln>
      </xdr:spPr>
    </xdr:pic>
    <xdr:clientData/>
  </xdr:twoCellAnchor>
  <xdr:twoCellAnchor editAs="oneCell">
    <xdr:from>
      <xdr:col>3</xdr:col>
      <xdr:colOff>0</xdr:colOff>
      <xdr:row>157</xdr:row>
      <xdr:rowOff>0</xdr:rowOff>
    </xdr:from>
    <xdr:to>
      <xdr:col>3</xdr:col>
      <xdr:colOff>95250</xdr:colOff>
      <xdr:row>157</xdr:row>
      <xdr:rowOff>114300</xdr:rowOff>
    </xdr:to>
    <xdr:pic>
      <xdr:nvPicPr>
        <xdr:cNvPr id="156" name="Grafik 17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1689675"/>
          <a:ext cx="95250" cy="104775"/>
        </a:xfrm>
        <a:prstGeom prst="rect">
          <a:avLst/>
        </a:prstGeom>
        <a:noFill/>
        <a:ln w="9525">
          <a:noFill/>
          <a:miter lim="800000"/>
          <a:headEnd/>
          <a:tailEnd/>
        </a:ln>
      </xdr:spPr>
    </xdr:pic>
    <xdr:clientData/>
  </xdr:twoCellAnchor>
  <xdr:twoCellAnchor editAs="oneCell">
    <xdr:from>
      <xdr:col>3</xdr:col>
      <xdr:colOff>0</xdr:colOff>
      <xdr:row>158</xdr:row>
      <xdr:rowOff>0</xdr:rowOff>
    </xdr:from>
    <xdr:to>
      <xdr:col>3</xdr:col>
      <xdr:colOff>95250</xdr:colOff>
      <xdr:row>158</xdr:row>
      <xdr:rowOff>104775</xdr:rowOff>
    </xdr:to>
    <xdr:pic>
      <xdr:nvPicPr>
        <xdr:cNvPr id="157" name="Grafik 17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1889700"/>
          <a:ext cx="95250" cy="104775"/>
        </a:xfrm>
        <a:prstGeom prst="rect">
          <a:avLst/>
        </a:prstGeom>
        <a:noFill/>
        <a:ln w="9525">
          <a:noFill/>
          <a:miter lim="800000"/>
          <a:headEnd/>
          <a:tailEnd/>
        </a:ln>
      </xdr:spPr>
    </xdr:pic>
    <xdr:clientData/>
  </xdr:twoCellAnchor>
  <xdr:twoCellAnchor editAs="oneCell">
    <xdr:from>
      <xdr:col>3</xdr:col>
      <xdr:colOff>0</xdr:colOff>
      <xdr:row>159</xdr:row>
      <xdr:rowOff>0</xdr:rowOff>
    </xdr:from>
    <xdr:to>
      <xdr:col>3</xdr:col>
      <xdr:colOff>95250</xdr:colOff>
      <xdr:row>159</xdr:row>
      <xdr:rowOff>114300</xdr:rowOff>
    </xdr:to>
    <xdr:pic>
      <xdr:nvPicPr>
        <xdr:cNvPr id="158" name="Grafik 17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2089725"/>
          <a:ext cx="95250" cy="104775"/>
        </a:xfrm>
        <a:prstGeom prst="rect">
          <a:avLst/>
        </a:prstGeom>
        <a:noFill/>
        <a:ln w="9525">
          <a:noFill/>
          <a:miter lim="800000"/>
          <a:headEnd/>
          <a:tailEnd/>
        </a:ln>
      </xdr:spPr>
    </xdr:pic>
    <xdr:clientData/>
  </xdr:twoCellAnchor>
  <xdr:twoCellAnchor editAs="oneCell">
    <xdr:from>
      <xdr:col>3</xdr:col>
      <xdr:colOff>0</xdr:colOff>
      <xdr:row>160</xdr:row>
      <xdr:rowOff>0</xdr:rowOff>
    </xdr:from>
    <xdr:to>
      <xdr:col>3</xdr:col>
      <xdr:colOff>95250</xdr:colOff>
      <xdr:row>160</xdr:row>
      <xdr:rowOff>104775</xdr:rowOff>
    </xdr:to>
    <xdr:pic>
      <xdr:nvPicPr>
        <xdr:cNvPr id="159" name="Grafik 17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2289750"/>
          <a:ext cx="95250" cy="104775"/>
        </a:xfrm>
        <a:prstGeom prst="rect">
          <a:avLst/>
        </a:prstGeom>
        <a:noFill/>
        <a:ln w="9525">
          <a:noFill/>
          <a:miter lim="800000"/>
          <a:headEnd/>
          <a:tailEnd/>
        </a:ln>
      </xdr:spPr>
    </xdr:pic>
    <xdr:clientData/>
  </xdr:twoCellAnchor>
  <xdr:twoCellAnchor editAs="oneCell">
    <xdr:from>
      <xdr:col>3</xdr:col>
      <xdr:colOff>0</xdr:colOff>
      <xdr:row>161</xdr:row>
      <xdr:rowOff>0</xdr:rowOff>
    </xdr:from>
    <xdr:to>
      <xdr:col>3</xdr:col>
      <xdr:colOff>95250</xdr:colOff>
      <xdr:row>161</xdr:row>
      <xdr:rowOff>114300</xdr:rowOff>
    </xdr:to>
    <xdr:pic>
      <xdr:nvPicPr>
        <xdr:cNvPr id="160" name="Grafik 17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2489775"/>
          <a:ext cx="95250" cy="104775"/>
        </a:xfrm>
        <a:prstGeom prst="rect">
          <a:avLst/>
        </a:prstGeom>
        <a:noFill/>
        <a:ln w="9525">
          <a:noFill/>
          <a:miter lim="800000"/>
          <a:headEnd/>
          <a:tailEnd/>
        </a:ln>
      </xdr:spPr>
    </xdr:pic>
    <xdr:clientData/>
  </xdr:twoCellAnchor>
  <xdr:twoCellAnchor editAs="oneCell">
    <xdr:from>
      <xdr:col>3</xdr:col>
      <xdr:colOff>0</xdr:colOff>
      <xdr:row>162</xdr:row>
      <xdr:rowOff>0</xdr:rowOff>
    </xdr:from>
    <xdr:to>
      <xdr:col>3</xdr:col>
      <xdr:colOff>95250</xdr:colOff>
      <xdr:row>162</xdr:row>
      <xdr:rowOff>104775</xdr:rowOff>
    </xdr:to>
    <xdr:pic>
      <xdr:nvPicPr>
        <xdr:cNvPr id="161" name="Grafik 17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2689800"/>
          <a:ext cx="95250" cy="104775"/>
        </a:xfrm>
        <a:prstGeom prst="rect">
          <a:avLst/>
        </a:prstGeom>
        <a:noFill/>
        <a:ln w="9525">
          <a:noFill/>
          <a:miter lim="800000"/>
          <a:headEnd/>
          <a:tailEnd/>
        </a:ln>
      </xdr:spPr>
    </xdr:pic>
    <xdr:clientData/>
  </xdr:twoCellAnchor>
  <xdr:twoCellAnchor editAs="oneCell">
    <xdr:from>
      <xdr:col>3</xdr:col>
      <xdr:colOff>0</xdr:colOff>
      <xdr:row>163</xdr:row>
      <xdr:rowOff>0</xdr:rowOff>
    </xdr:from>
    <xdr:to>
      <xdr:col>3</xdr:col>
      <xdr:colOff>95250</xdr:colOff>
      <xdr:row>163</xdr:row>
      <xdr:rowOff>114300</xdr:rowOff>
    </xdr:to>
    <xdr:pic>
      <xdr:nvPicPr>
        <xdr:cNvPr id="162" name="Grafik 17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2889825"/>
          <a:ext cx="95250" cy="104775"/>
        </a:xfrm>
        <a:prstGeom prst="rect">
          <a:avLst/>
        </a:prstGeom>
        <a:noFill/>
        <a:ln w="9525">
          <a:noFill/>
          <a:miter lim="800000"/>
          <a:headEnd/>
          <a:tailEnd/>
        </a:ln>
      </xdr:spPr>
    </xdr:pic>
    <xdr:clientData/>
  </xdr:twoCellAnchor>
  <xdr:twoCellAnchor editAs="oneCell">
    <xdr:from>
      <xdr:col>3</xdr:col>
      <xdr:colOff>0</xdr:colOff>
      <xdr:row>164</xdr:row>
      <xdr:rowOff>0</xdr:rowOff>
    </xdr:from>
    <xdr:to>
      <xdr:col>3</xdr:col>
      <xdr:colOff>95250</xdr:colOff>
      <xdr:row>164</xdr:row>
      <xdr:rowOff>104775</xdr:rowOff>
    </xdr:to>
    <xdr:pic>
      <xdr:nvPicPr>
        <xdr:cNvPr id="163" name="Grafik 17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3089850"/>
          <a:ext cx="95250" cy="104775"/>
        </a:xfrm>
        <a:prstGeom prst="rect">
          <a:avLst/>
        </a:prstGeom>
        <a:noFill/>
        <a:ln w="9525">
          <a:noFill/>
          <a:miter lim="800000"/>
          <a:headEnd/>
          <a:tailEnd/>
        </a:ln>
      </xdr:spPr>
    </xdr:pic>
    <xdr:clientData/>
  </xdr:twoCellAnchor>
  <xdr:twoCellAnchor editAs="oneCell">
    <xdr:from>
      <xdr:col>3</xdr:col>
      <xdr:colOff>0</xdr:colOff>
      <xdr:row>165</xdr:row>
      <xdr:rowOff>0</xdr:rowOff>
    </xdr:from>
    <xdr:to>
      <xdr:col>3</xdr:col>
      <xdr:colOff>95250</xdr:colOff>
      <xdr:row>165</xdr:row>
      <xdr:rowOff>114300</xdr:rowOff>
    </xdr:to>
    <xdr:pic>
      <xdr:nvPicPr>
        <xdr:cNvPr id="164" name="Grafik 17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3289875"/>
          <a:ext cx="95250" cy="104775"/>
        </a:xfrm>
        <a:prstGeom prst="rect">
          <a:avLst/>
        </a:prstGeom>
        <a:noFill/>
        <a:ln w="9525">
          <a:noFill/>
          <a:miter lim="800000"/>
          <a:headEnd/>
          <a:tailEnd/>
        </a:ln>
      </xdr:spPr>
    </xdr:pic>
    <xdr:clientData/>
  </xdr:twoCellAnchor>
  <xdr:twoCellAnchor editAs="oneCell">
    <xdr:from>
      <xdr:col>3</xdr:col>
      <xdr:colOff>0</xdr:colOff>
      <xdr:row>166</xdr:row>
      <xdr:rowOff>0</xdr:rowOff>
    </xdr:from>
    <xdr:to>
      <xdr:col>3</xdr:col>
      <xdr:colOff>95250</xdr:colOff>
      <xdr:row>166</xdr:row>
      <xdr:rowOff>104775</xdr:rowOff>
    </xdr:to>
    <xdr:pic>
      <xdr:nvPicPr>
        <xdr:cNvPr id="165" name="Grafik 17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3489900"/>
          <a:ext cx="95250" cy="104775"/>
        </a:xfrm>
        <a:prstGeom prst="rect">
          <a:avLst/>
        </a:prstGeom>
        <a:noFill/>
        <a:ln w="9525">
          <a:noFill/>
          <a:miter lim="800000"/>
          <a:headEnd/>
          <a:tailEnd/>
        </a:ln>
      </xdr:spPr>
    </xdr:pic>
    <xdr:clientData/>
  </xdr:twoCellAnchor>
  <xdr:twoCellAnchor editAs="oneCell">
    <xdr:from>
      <xdr:col>3</xdr:col>
      <xdr:colOff>0</xdr:colOff>
      <xdr:row>167</xdr:row>
      <xdr:rowOff>0</xdr:rowOff>
    </xdr:from>
    <xdr:to>
      <xdr:col>3</xdr:col>
      <xdr:colOff>95250</xdr:colOff>
      <xdr:row>167</xdr:row>
      <xdr:rowOff>114300</xdr:rowOff>
    </xdr:to>
    <xdr:pic>
      <xdr:nvPicPr>
        <xdr:cNvPr id="166" name="Grafik 18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3689925"/>
          <a:ext cx="95250" cy="104775"/>
        </a:xfrm>
        <a:prstGeom prst="rect">
          <a:avLst/>
        </a:prstGeom>
        <a:noFill/>
        <a:ln w="9525">
          <a:noFill/>
          <a:miter lim="800000"/>
          <a:headEnd/>
          <a:tailEnd/>
        </a:ln>
      </xdr:spPr>
    </xdr:pic>
    <xdr:clientData/>
  </xdr:twoCellAnchor>
  <xdr:twoCellAnchor editAs="oneCell">
    <xdr:from>
      <xdr:col>3</xdr:col>
      <xdr:colOff>0</xdr:colOff>
      <xdr:row>168</xdr:row>
      <xdr:rowOff>0</xdr:rowOff>
    </xdr:from>
    <xdr:to>
      <xdr:col>3</xdr:col>
      <xdr:colOff>95250</xdr:colOff>
      <xdr:row>168</xdr:row>
      <xdr:rowOff>104775</xdr:rowOff>
    </xdr:to>
    <xdr:pic>
      <xdr:nvPicPr>
        <xdr:cNvPr id="167" name="Grafik 18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3889950"/>
          <a:ext cx="95250" cy="104775"/>
        </a:xfrm>
        <a:prstGeom prst="rect">
          <a:avLst/>
        </a:prstGeom>
        <a:noFill/>
        <a:ln w="9525">
          <a:noFill/>
          <a:miter lim="800000"/>
          <a:headEnd/>
          <a:tailEnd/>
        </a:ln>
      </xdr:spPr>
    </xdr:pic>
    <xdr:clientData/>
  </xdr:twoCellAnchor>
  <xdr:twoCellAnchor editAs="oneCell">
    <xdr:from>
      <xdr:col>3</xdr:col>
      <xdr:colOff>0</xdr:colOff>
      <xdr:row>169</xdr:row>
      <xdr:rowOff>0</xdr:rowOff>
    </xdr:from>
    <xdr:to>
      <xdr:col>3</xdr:col>
      <xdr:colOff>95250</xdr:colOff>
      <xdr:row>169</xdr:row>
      <xdr:rowOff>114300</xdr:rowOff>
    </xdr:to>
    <xdr:pic>
      <xdr:nvPicPr>
        <xdr:cNvPr id="168" name="Grafik 18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4089975"/>
          <a:ext cx="95250" cy="104775"/>
        </a:xfrm>
        <a:prstGeom prst="rect">
          <a:avLst/>
        </a:prstGeom>
        <a:noFill/>
        <a:ln w="9525">
          <a:noFill/>
          <a:miter lim="800000"/>
          <a:headEnd/>
          <a:tailEnd/>
        </a:ln>
      </xdr:spPr>
    </xdr:pic>
    <xdr:clientData/>
  </xdr:twoCellAnchor>
  <xdr:twoCellAnchor editAs="oneCell">
    <xdr:from>
      <xdr:col>3</xdr:col>
      <xdr:colOff>0</xdr:colOff>
      <xdr:row>170</xdr:row>
      <xdr:rowOff>0</xdr:rowOff>
    </xdr:from>
    <xdr:to>
      <xdr:col>3</xdr:col>
      <xdr:colOff>95250</xdr:colOff>
      <xdr:row>170</xdr:row>
      <xdr:rowOff>104775</xdr:rowOff>
    </xdr:to>
    <xdr:pic>
      <xdr:nvPicPr>
        <xdr:cNvPr id="169" name="Grafik 18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4290000"/>
          <a:ext cx="95250" cy="104775"/>
        </a:xfrm>
        <a:prstGeom prst="rect">
          <a:avLst/>
        </a:prstGeom>
        <a:noFill/>
        <a:ln w="9525">
          <a:noFill/>
          <a:miter lim="800000"/>
          <a:headEnd/>
          <a:tailEnd/>
        </a:ln>
      </xdr:spPr>
    </xdr:pic>
    <xdr:clientData/>
  </xdr:twoCellAnchor>
  <xdr:twoCellAnchor editAs="oneCell">
    <xdr:from>
      <xdr:col>3</xdr:col>
      <xdr:colOff>0</xdr:colOff>
      <xdr:row>171</xdr:row>
      <xdr:rowOff>0</xdr:rowOff>
    </xdr:from>
    <xdr:to>
      <xdr:col>3</xdr:col>
      <xdr:colOff>95250</xdr:colOff>
      <xdr:row>171</xdr:row>
      <xdr:rowOff>114300</xdr:rowOff>
    </xdr:to>
    <xdr:pic>
      <xdr:nvPicPr>
        <xdr:cNvPr id="170" name="Grafik 18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4490025"/>
          <a:ext cx="95250" cy="104775"/>
        </a:xfrm>
        <a:prstGeom prst="rect">
          <a:avLst/>
        </a:prstGeom>
        <a:noFill/>
        <a:ln w="9525">
          <a:noFill/>
          <a:miter lim="800000"/>
          <a:headEnd/>
          <a:tailEnd/>
        </a:ln>
      </xdr:spPr>
    </xdr:pic>
    <xdr:clientData/>
  </xdr:twoCellAnchor>
  <xdr:twoCellAnchor editAs="oneCell">
    <xdr:from>
      <xdr:col>3</xdr:col>
      <xdr:colOff>0</xdr:colOff>
      <xdr:row>172</xdr:row>
      <xdr:rowOff>0</xdr:rowOff>
    </xdr:from>
    <xdr:to>
      <xdr:col>3</xdr:col>
      <xdr:colOff>95250</xdr:colOff>
      <xdr:row>172</xdr:row>
      <xdr:rowOff>104775</xdr:rowOff>
    </xdr:to>
    <xdr:pic>
      <xdr:nvPicPr>
        <xdr:cNvPr id="171" name="Grafik 18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4690050"/>
          <a:ext cx="95250" cy="104775"/>
        </a:xfrm>
        <a:prstGeom prst="rect">
          <a:avLst/>
        </a:prstGeom>
        <a:noFill/>
        <a:ln w="9525">
          <a:noFill/>
          <a:miter lim="800000"/>
          <a:headEnd/>
          <a:tailEnd/>
        </a:ln>
      </xdr:spPr>
    </xdr:pic>
    <xdr:clientData/>
  </xdr:twoCellAnchor>
  <xdr:twoCellAnchor editAs="oneCell">
    <xdr:from>
      <xdr:col>3</xdr:col>
      <xdr:colOff>0</xdr:colOff>
      <xdr:row>173</xdr:row>
      <xdr:rowOff>0</xdr:rowOff>
    </xdr:from>
    <xdr:to>
      <xdr:col>3</xdr:col>
      <xdr:colOff>95250</xdr:colOff>
      <xdr:row>173</xdr:row>
      <xdr:rowOff>114300</xdr:rowOff>
    </xdr:to>
    <xdr:pic>
      <xdr:nvPicPr>
        <xdr:cNvPr id="172" name="Grafik 18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4890075"/>
          <a:ext cx="95250" cy="104775"/>
        </a:xfrm>
        <a:prstGeom prst="rect">
          <a:avLst/>
        </a:prstGeom>
        <a:noFill/>
        <a:ln w="9525">
          <a:noFill/>
          <a:miter lim="800000"/>
          <a:headEnd/>
          <a:tailEnd/>
        </a:ln>
      </xdr:spPr>
    </xdr:pic>
    <xdr:clientData/>
  </xdr:twoCellAnchor>
  <xdr:twoCellAnchor editAs="oneCell">
    <xdr:from>
      <xdr:col>3</xdr:col>
      <xdr:colOff>0</xdr:colOff>
      <xdr:row>174</xdr:row>
      <xdr:rowOff>0</xdr:rowOff>
    </xdr:from>
    <xdr:to>
      <xdr:col>3</xdr:col>
      <xdr:colOff>95250</xdr:colOff>
      <xdr:row>174</xdr:row>
      <xdr:rowOff>104775</xdr:rowOff>
    </xdr:to>
    <xdr:pic>
      <xdr:nvPicPr>
        <xdr:cNvPr id="173" name="Grafik 18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5090100"/>
          <a:ext cx="95250" cy="104775"/>
        </a:xfrm>
        <a:prstGeom prst="rect">
          <a:avLst/>
        </a:prstGeom>
        <a:noFill/>
        <a:ln w="9525">
          <a:noFill/>
          <a:miter lim="800000"/>
          <a:headEnd/>
          <a:tailEnd/>
        </a:ln>
      </xdr:spPr>
    </xdr:pic>
    <xdr:clientData/>
  </xdr:twoCellAnchor>
  <xdr:twoCellAnchor editAs="oneCell">
    <xdr:from>
      <xdr:col>3</xdr:col>
      <xdr:colOff>0</xdr:colOff>
      <xdr:row>175</xdr:row>
      <xdr:rowOff>0</xdr:rowOff>
    </xdr:from>
    <xdr:to>
      <xdr:col>3</xdr:col>
      <xdr:colOff>95250</xdr:colOff>
      <xdr:row>175</xdr:row>
      <xdr:rowOff>114300</xdr:rowOff>
    </xdr:to>
    <xdr:pic>
      <xdr:nvPicPr>
        <xdr:cNvPr id="174" name="Grafik 18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5290125"/>
          <a:ext cx="95250" cy="104775"/>
        </a:xfrm>
        <a:prstGeom prst="rect">
          <a:avLst/>
        </a:prstGeom>
        <a:noFill/>
        <a:ln w="9525">
          <a:noFill/>
          <a:miter lim="800000"/>
          <a:headEnd/>
          <a:tailEnd/>
        </a:ln>
      </xdr:spPr>
    </xdr:pic>
    <xdr:clientData/>
  </xdr:twoCellAnchor>
  <xdr:twoCellAnchor editAs="oneCell">
    <xdr:from>
      <xdr:col>3</xdr:col>
      <xdr:colOff>0</xdr:colOff>
      <xdr:row>176</xdr:row>
      <xdr:rowOff>0</xdr:rowOff>
    </xdr:from>
    <xdr:to>
      <xdr:col>3</xdr:col>
      <xdr:colOff>95250</xdr:colOff>
      <xdr:row>176</xdr:row>
      <xdr:rowOff>104775</xdr:rowOff>
    </xdr:to>
    <xdr:pic>
      <xdr:nvPicPr>
        <xdr:cNvPr id="175" name="Grafik 18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5490150"/>
          <a:ext cx="95250" cy="104775"/>
        </a:xfrm>
        <a:prstGeom prst="rect">
          <a:avLst/>
        </a:prstGeom>
        <a:noFill/>
        <a:ln w="9525">
          <a:noFill/>
          <a:miter lim="800000"/>
          <a:headEnd/>
          <a:tailEnd/>
        </a:ln>
      </xdr:spPr>
    </xdr:pic>
    <xdr:clientData/>
  </xdr:twoCellAnchor>
  <xdr:twoCellAnchor editAs="oneCell">
    <xdr:from>
      <xdr:col>3</xdr:col>
      <xdr:colOff>0</xdr:colOff>
      <xdr:row>177</xdr:row>
      <xdr:rowOff>0</xdr:rowOff>
    </xdr:from>
    <xdr:to>
      <xdr:col>3</xdr:col>
      <xdr:colOff>95250</xdr:colOff>
      <xdr:row>177</xdr:row>
      <xdr:rowOff>114300</xdr:rowOff>
    </xdr:to>
    <xdr:pic>
      <xdr:nvPicPr>
        <xdr:cNvPr id="176" name="Grafik 19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5690175"/>
          <a:ext cx="95250" cy="104775"/>
        </a:xfrm>
        <a:prstGeom prst="rect">
          <a:avLst/>
        </a:prstGeom>
        <a:noFill/>
        <a:ln w="9525">
          <a:noFill/>
          <a:miter lim="800000"/>
          <a:headEnd/>
          <a:tailEnd/>
        </a:ln>
      </xdr:spPr>
    </xdr:pic>
    <xdr:clientData/>
  </xdr:twoCellAnchor>
  <xdr:twoCellAnchor editAs="oneCell">
    <xdr:from>
      <xdr:col>3</xdr:col>
      <xdr:colOff>0</xdr:colOff>
      <xdr:row>178</xdr:row>
      <xdr:rowOff>0</xdr:rowOff>
    </xdr:from>
    <xdr:to>
      <xdr:col>3</xdr:col>
      <xdr:colOff>95250</xdr:colOff>
      <xdr:row>178</xdr:row>
      <xdr:rowOff>104775</xdr:rowOff>
    </xdr:to>
    <xdr:pic>
      <xdr:nvPicPr>
        <xdr:cNvPr id="177" name="Grafik 19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5890200"/>
          <a:ext cx="95250" cy="104775"/>
        </a:xfrm>
        <a:prstGeom prst="rect">
          <a:avLst/>
        </a:prstGeom>
        <a:noFill/>
        <a:ln w="9525">
          <a:noFill/>
          <a:miter lim="800000"/>
          <a:headEnd/>
          <a:tailEnd/>
        </a:ln>
      </xdr:spPr>
    </xdr:pic>
    <xdr:clientData/>
  </xdr:twoCellAnchor>
  <xdr:twoCellAnchor editAs="oneCell">
    <xdr:from>
      <xdr:col>3</xdr:col>
      <xdr:colOff>0</xdr:colOff>
      <xdr:row>179</xdr:row>
      <xdr:rowOff>0</xdr:rowOff>
    </xdr:from>
    <xdr:to>
      <xdr:col>3</xdr:col>
      <xdr:colOff>95250</xdr:colOff>
      <xdr:row>179</xdr:row>
      <xdr:rowOff>114300</xdr:rowOff>
    </xdr:to>
    <xdr:pic>
      <xdr:nvPicPr>
        <xdr:cNvPr id="178" name="Grafik 19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6090225"/>
          <a:ext cx="95250" cy="104775"/>
        </a:xfrm>
        <a:prstGeom prst="rect">
          <a:avLst/>
        </a:prstGeom>
        <a:noFill/>
        <a:ln w="9525">
          <a:noFill/>
          <a:miter lim="800000"/>
          <a:headEnd/>
          <a:tailEnd/>
        </a:ln>
      </xdr:spPr>
    </xdr:pic>
    <xdr:clientData/>
  </xdr:twoCellAnchor>
  <xdr:twoCellAnchor editAs="oneCell">
    <xdr:from>
      <xdr:col>3</xdr:col>
      <xdr:colOff>0</xdr:colOff>
      <xdr:row>180</xdr:row>
      <xdr:rowOff>0</xdr:rowOff>
    </xdr:from>
    <xdr:to>
      <xdr:col>3</xdr:col>
      <xdr:colOff>95250</xdr:colOff>
      <xdr:row>180</xdr:row>
      <xdr:rowOff>104775</xdr:rowOff>
    </xdr:to>
    <xdr:pic>
      <xdr:nvPicPr>
        <xdr:cNvPr id="179" name="Grafik 19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6290250"/>
          <a:ext cx="95250" cy="104775"/>
        </a:xfrm>
        <a:prstGeom prst="rect">
          <a:avLst/>
        </a:prstGeom>
        <a:noFill/>
        <a:ln w="9525">
          <a:noFill/>
          <a:miter lim="800000"/>
          <a:headEnd/>
          <a:tailEnd/>
        </a:ln>
      </xdr:spPr>
    </xdr:pic>
    <xdr:clientData/>
  </xdr:twoCellAnchor>
  <xdr:twoCellAnchor editAs="oneCell">
    <xdr:from>
      <xdr:col>3</xdr:col>
      <xdr:colOff>0</xdr:colOff>
      <xdr:row>181</xdr:row>
      <xdr:rowOff>0</xdr:rowOff>
    </xdr:from>
    <xdr:to>
      <xdr:col>3</xdr:col>
      <xdr:colOff>95250</xdr:colOff>
      <xdr:row>181</xdr:row>
      <xdr:rowOff>114300</xdr:rowOff>
    </xdr:to>
    <xdr:pic>
      <xdr:nvPicPr>
        <xdr:cNvPr id="180" name="Grafik 19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6490275"/>
          <a:ext cx="95250" cy="104775"/>
        </a:xfrm>
        <a:prstGeom prst="rect">
          <a:avLst/>
        </a:prstGeom>
        <a:noFill/>
        <a:ln w="9525">
          <a:noFill/>
          <a:miter lim="800000"/>
          <a:headEnd/>
          <a:tailEnd/>
        </a:ln>
      </xdr:spPr>
    </xdr:pic>
    <xdr:clientData/>
  </xdr:twoCellAnchor>
  <xdr:twoCellAnchor editAs="oneCell">
    <xdr:from>
      <xdr:col>3</xdr:col>
      <xdr:colOff>0</xdr:colOff>
      <xdr:row>182</xdr:row>
      <xdr:rowOff>0</xdr:rowOff>
    </xdr:from>
    <xdr:to>
      <xdr:col>3</xdr:col>
      <xdr:colOff>95250</xdr:colOff>
      <xdr:row>182</xdr:row>
      <xdr:rowOff>104775</xdr:rowOff>
    </xdr:to>
    <xdr:pic>
      <xdr:nvPicPr>
        <xdr:cNvPr id="181" name="Grafik 19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6690300"/>
          <a:ext cx="95250" cy="104775"/>
        </a:xfrm>
        <a:prstGeom prst="rect">
          <a:avLst/>
        </a:prstGeom>
        <a:noFill/>
        <a:ln w="9525">
          <a:noFill/>
          <a:miter lim="800000"/>
          <a:headEnd/>
          <a:tailEnd/>
        </a:ln>
      </xdr:spPr>
    </xdr:pic>
    <xdr:clientData/>
  </xdr:twoCellAnchor>
  <xdr:twoCellAnchor editAs="oneCell">
    <xdr:from>
      <xdr:col>3</xdr:col>
      <xdr:colOff>0</xdr:colOff>
      <xdr:row>183</xdr:row>
      <xdr:rowOff>0</xdr:rowOff>
    </xdr:from>
    <xdr:to>
      <xdr:col>3</xdr:col>
      <xdr:colOff>95250</xdr:colOff>
      <xdr:row>183</xdr:row>
      <xdr:rowOff>114300</xdr:rowOff>
    </xdr:to>
    <xdr:pic>
      <xdr:nvPicPr>
        <xdr:cNvPr id="182" name="Grafik 19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6890325"/>
          <a:ext cx="95250" cy="104775"/>
        </a:xfrm>
        <a:prstGeom prst="rect">
          <a:avLst/>
        </a:prstGeom>
        <a:noFill/>
        <a:ln w="9525">
          <a:noFill/>
          <a:miter lim="800000"/>
          <a:headEnd/>
          <a:tailEnd/>
        </a:ln>
      </xdr:spPr>
    </xdr:pic>
    <xdr:clientData/>
  </xdr:twoCellAnchor>
  <xdr:twoCellAnchor editAs="oneCell">
    <xdr:from>
      <xdr:col>3</xdr:col>
      <xdr:colOff>0</xdr:colOff>
      <xdr:row>184</xdr:row>
      <xdr:rowOff>0</xdr:rowOff>
    </xdr:from>
    <xdr:to>
      <xdr:col>3</xdr:col>
      <xdr:colOff>95250</xdr:colOff>
      <xdr:row>184</xdr:row>
      <xdr:rowOff>104775</xdr:rowOff>
    </xdr:to>
    <xdr:pic>
      <xdr:nvPicPr>
        <xdr:cNvPr id="183" name="Grafik 19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7090350"/>
          <a:ext cx="95250" cy="104775"/>
        </a:xfrm>
        <a:prstGeom prst="rect">
          <a:avLst/>
        </a:prstGeom>
        <a:noFill/>
        <a:ln w="9525">
          <a:noFill/>
          <a:miter lim="800000"/>
          <a:headEnd/>
          <a:tailEnd/>
        </a:ln>
      </xdr:spPr>
    </xdr:pic>
    <xdr:clientData/>
  </xdr:twoCellAnchor>
  <xdr:twoCellAnchor editAs="oneCell">
    <xdr:from>
      <xdr:col>3</xdr:col>
      <xdr:colOff>0</xdr:colOff>
      <xdr:row>185</xdr:row>
      <xdr:rowOff>0</xdr:rowOff>
    </xdr:from>
    <xdr:to>
      <xdr:col>3</xdr:col>
      <xdr:colOff>95250</xdr:colOff>
      <xdr:row>185</xdr:row>
      <xdr:rowOff>114300</xdr:rowOff>
    </xdr:to>
    <xdr:pic>
      <xdr:nvPicPr>
        <xdr:cNvPr id="184" name="Grafik 19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7290375"/>
          <a:ext cx="95250" cy="104775"/>
        </a:xfrm>
        <a:prstGeom prst="rect">
          <a:avLst/>
        </a:prstGeom>
        <a:noFill/>
        <a:ln w="9525">
          <a:noFill/>
          <a:miter lim="800000"/>
          <a:headEnd/>
          <a:tailEnd/>
        </a:ln>
      </xdr:spPr>
    </xdr:pic>
    <xdr:clientData/>
  </xdr:twoCellAnchor>
  <xdr:twoCellAnchor editAs="oneCell">
    <xdr:from>
      <xdr:col>3</xdr:col>
      <xdr:colOff>0</xdr:colOff>
      <xdr:row>186</xdr:row>
      <xdr:rowOff>0</xdr:rowOff>
    </xdr:from>
    <xdr:to>
      <xdr:col>3</xdr:col>
      <xdr:colOff>95250</xdr:colOff>
      <xdr:row>186</xdr:row>
      <xdr:rowOff>104775</xdr:rowOff>
    </xdr:to>
    <xdr:pic>
      <xdr:nvPicPr>
        <xdr:cNvPr id="185" name="Grafik 19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7490400"/>
          <a:ext cx="95250" cy="104775"/>
        </a:xfrm>
        <a:prstGeom prst="rect">
          <a:avLst/>
        </a:prstGeom>
        <a:noFill/>
        <a:ln w="9525">
          <a:noFill/>
          <a:miter lim="800000"/>
          <a:headEnd/>
          <a:tailEnd/>
        </a:ln>
      </xdr:spPr>
    </xdr:pic>
    <xdr:clientData/>
  </xdr:twoCellAnchor>
  <xdr:twoCellAnchor editAs="oneCell">
    <xdr:from>
      <xdr:col>3</xdr:col>
      <xdr:colOff>0</xdr:colOff>
      <xdr:row>187</xdr:row>
      <xdr:rowOff>0</xdr:rowOff>
    </xdr:from>
    <xdr:to>
      <xdr:col>3</xdr:col>
      <xdr:colOff>95250</xdr:colOff>
      <xdr:row>187</xdr:row>
      <xdr:rowOff>114300</xdr:rowOff>
    </xdr:to>
    <xdr:pic>
      <xdr:nvPicPr>
        <xdr:cNvPr id="186" name="Grafik 20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7690425"/>
          <a:ext cx="95250" cy="104775"/>
        </a:xfrm>
        <a:prstGeom prst="rect">
          <a:avLst/>
        </a:prstGeom>
        <a:noFill/>
        <a:ln w="9525">
          <a:noFill/>
          <a:miter lim="800000"/>
          <a:headEnd/>
          <a:tailEnd/>
        </a:ln>
      </xdr:spPr>
    </xdr:pic>
    <xdr:clientData/>
  </xdr:twoCellAnchor>
  <xdr:twoCellAnchor editAs="oneCell">
    <xdr:from>
      <xdr:col>3</xdr:col>
      <xdr:colOff>0</xdr:colOff>
      <xdr:row>188</xdr:row>
      <xdr:rowOff>0</xdr:rowOff>
    </xdr:from>
    <xdr:to>
      <xdr:col>3</xdr:col>
      <xdr:colOff>95250</xdr:colOff>
      <xdr:row>188</xdr:row>
      <xdr:rowOff>104775</xdr:rowOff>
    </xdr:to>
    <xdr:pic>
      <xdr:nvPicPr>
        <xdr:cNvPr id="187" name="Grafik 20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7890450"/>
          <a:ext cx="95250" cy="104775"/>
        </a:xfrm>
        <a:prstGeom prst="rect">
          <a:avLst/>
        </a:prstGeom>
        <a:noFill/>
        <a:ln w="9525">
          <a:noFill/>
          <a:miter lim="800000"/>
          <a:headEnd/>
          <a:tailEnd/>
        </a:ln>
      </xdr:spPr>
    </xdr:pic>
    <xdr:clientData/>
  </xdr:twoCellAnchor>
  <xdr:twoCellAnchor editAs="oneCell">
    <xdr:from>
      <xdr:col>3</xdr:col>
      <xdr:colOff>0</xdr:colOff>
      <xdr:row>189</xdr:row>
      <xdr:rowOff>0</xdr:rowOff>
    </xdr:from>
    <xdr:to>
      <xdr:col>3</xdr:col>
      <xdr:colOff>95250</xdr:colOff>
      <xdr:row>189</xdr:row>
      <xdr:rowOff>114300</xdr:rowOff>
    </xdr:to>
    <xdr:pic>
      <xdr:nvPicPr>
        <xdr:cNvPr id="188" name="Grafik 20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8090475"/>
          <a:ext cx="95250" cy="104775"/>
        </a:xfrm>
        <a:prstGeom prst="rect">
          <a:avLst/>
        </a:prstGeom>
        <a:noFill/>
        <a:ln w="9525">
          <a:noFill/>
          <a:miter lim="800000"/>
          <a:headEnd/>
          <a:tailEnd/>
        </a:ln>
      </xdr:spPr>
    </xdr:pic>
    <xdr:clientData/>
  </xdr:twoCellAnchor>
  <xdr:twoCellAnchor editAs="oneCell">
    <xdr:from>
      <xdr:col>3</xdr:col>
      <xdr:colOff>0</xdr:colOff>
      <xdr:row>190</xdr:row>
      <xdr:rowOff>0</xdr:rowOff>
    </xdr:from>
    <xdr:to>
      <xdr:col>3</xdr:col>
      <xdr:colOff>95250</xdr:colOff>
      <xdr:row>190</xdr:row>
      <xdr:rowOff>104775</xdr:rowOff>
    </xdr:to>
    <xdr:pic>
      <xdr:nvPicPr>
        <xdr:cNvPr id="189" name="Grafik 20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8290500"/>
          <a:ext cx="95250" cy="104775"/>
        </a:xfrm>
        <a:prstGeom prst="rect">
          <a:avLst/>
        </a:prstGeom>
        <a:noFill/>
        <a:ln w="9525">
          <a:noFill/>
          <a:miter lim="800000"/>
          <a:headEnd/>
          <a:tailEnd/>
        </a:ln>
      </xdr:spPr>
    </xdr:pic>
    <xdr:clientData/>
  </xdr:twoCellAnchor>
  <xdr:twoCellAnchor editAs="oneCell">
    <xdr:from>
      <xdr:col>3</xdr:col>
      <xdr:colOff>0</xdr:colOff>
      <xdr:row>191</xdr:row>
      <xdr:rowOff>0</xdr:rowOff>
    </xdr:from>
    <xdr:to>
      <xdr:col>3</xdr:col>
      <xdr:colOff>95250</xdr:colOff>
      <xdr:row>191</xdr:row>
      <xdr:rowOff>114300</xdr:rowOff>
    </xdr:to>
    <xdr:pic>
      <xdr:nvPicPr>
        <xdr:cNvPr id="190" name="Grafik 20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8490525"/>
          <a:ext cx="95250" cy="104775"/>
        </a:xfrm>
        <a:prstGeom prst="rect">
          <a:avLst/>
        </a:prstGeom>
        <a:noFill/>
        <a:ln w="9525">
          <a:noFill/>
          <a:miter lim="800000"/>
          <a:headEnd/>
          <a:tailEnd/>
        </a:ln>
      </xdr:spPr>
    </xdr:pic>
    <xdr:clientData/>
  </xdr:twoCellAnchor>
  <xdr:twoCellAnchor editAs="oneCell">
    <xdr:from>
      <xdr:col>3</xdr:col>
      <xdr:colOff>0</xdr:colOff>
      <xdr:row>192</xdr:row>
      <xdr:rowOff>0</xdr:rowOff>
    </xdr:from>
    <xdr:to>
      <xdr:col>3</xdr:col>
      <xdr:colOff>95250</xdr:colOff>
      <xdr:row>192</xdr:row>
      <xdr:rowOff>104775</xdr:rowOff>
    </xdr:to>
    <xdr:pic>
      <xdr:nvPicPr>
        <xdr:cNvPr id="191" name="Grafik 20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8690550"/>
          <a:ext cx="95250" cy="104775"/>
        </a:xfrm>
        <a:prstGeom prst="rect">
          <a:avLst/>
        </a:prstGeom>
        <a:noFill/>
        <a:ln w="9525">
          <a:noFill/>
          <a:miter lim="800000"/>
          <a:headEnd/>
          <a:tailEnd/>
        </a:ln>
      </xdr:spPr>
    </xdr:pic>
    <xdr:clientData/>
  </xdr:twoCellAnchor>
  <xdr:twoCellAnchor editAs="oneCell">
    <xdr:from>
      <xdr:col>3</xdr:col>
      <xdr:colOff>0</xdr:colOff>
      <xdr:row>193</xdr:row>
      <xdr:rowOff>0</xdr:rowOff>
    </xdr:from>
    <xdr:to>
      <xdr:col>3</xdr:col>
      <xdr:colOff>95250</xdr:colOff>
      <xdr:row>193</xdr:row>
      <xdr:rowOff>114300</xdr:rowOff>
    </xdr:to>
    <xdr:pic>
      <xdr:nvPicPr>
        <xdr:cNvPr id="192" name="Grafik 20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8890575"/>
          <a:ext cx="95250" cy="104775"/>
        </a:xfrm>
        <a:prstGeom prst="rect">
          <a:avLst/>
        </a:prstGeom>
        <a:noFill/>
        <a:ln w="9525">
          <a:noFill/>
          <a:miter lim="800000"/>
          <a:headEnd/>
          <a:tailEnd/>
        </a:ln>
      </xdr:spPr>
    </xdr:pic>
    <xdr:clientData/>
  </xdr:twoCellAnchor>
  <xdr:twoCellAnchor editAs="oneCell">
    <xdr:from>
      <xdr:col>3</xdr:col>
      <xdr:colOff>0</xdr:colOff>
      <xdr:row>194</xdr:row>
      <xdr:rowOff>0</xdr:rowOff>
    </xdr:from>
    <xdr:to>
      <xdr:col>3</xdr:col>
      <xdr:colOff>95250</xdr:colOff>
      <xdr:row>194</xdr:row>
      <xdr:rowOff>104775</xdr:rowOff>
    </xdr:to>
    <xdr:pic>
      <xdr:nvPicPr>
        <xdr:cNvPr id="193" name="Grafik 20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9090600"/>
          <a:ext cx="95250" cy="104775"/>
        </a:xfrm>
        <a:prstGeom prst="rect">
          <a:avLst/>
        </a:prstGeom>
        <a:noFill/>
        <a:ln w="9525">
          <a:noFill/>
          <a:miter lim="800000"/>
          <a:headEnd/>
          <a:tailEnd/>
        </a:ln>
      </xdr:spPr>
    </xdr:pic>
    <xdr:clientData/>
  </xdr:twoCellAnchor>
  <xdr:twoCellAnchor editAs="oneCell">
    <xdr:from>
      <xdr:col>3</xdr:col>
      <xdr:colOff>0</xdr:colOff>
      <xdr:row>195</xdr:row>
      <xdr:rowOff>0</xdr:rowOff>
    </xdr:from>
    <xdr:to>
      <xdr:col>3</xdr:col>
      <xdr:colOff>95250</xdr:colOff>
      <xdr:row>195</xdr:row>
      <xdr:rowOff>114300</xdr:rowOff>
    </xdr:to>
    <xdr:pic>
      <xdr:nvPicPr>
        <xdr:cNvPr id="194" name="Grafik 20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9290625"/>
          <a:ext cx="95250" cy="104775"/>
        </a:xfrm>
        <a:prstGeom prst="rect">
          <a:avLst/>
        </a:prstGeom>
        <a:noFill/>
        <a:ln w="9525">
          <a:noFill/>
          <a:miter lim="800000"/>
          <a:headEnd/>
          <a:tailEnd/>
        </a:ln>
      </xdr:spPr>
    </xdr:pic>
    <xdr:clientData/>
  </xdr:twoCellAnchor>
  <xdr:twoCellAnchor editAs="oneCell">
    <xdr:from>
      <xdr:col>3</xdr:col>
      <xdr:colOff>0</xdr:colOff>
      <xdr:row>196</xdr:row>
      <xdr:rowOff>0</xdr:rowOff>
    </xdr:from>
    <xdr:to>
      <xdr:col>3</xdr:col>
      <xdr:colOff>95250</xdr:colOff>
      <xdr:row>196</xdr:row>
      <xdr:rowOff>104775</xdr:rowOff>
    </xdr:to>
    <xdr:pic>
      <xdr:nvPicPr>
        <xdr:cNvPr id="195" name="Grafik 20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9490650"/>
          <a:ext cx="95250" cy="104775"/>
        </a:xfrm>
        <a:prstGeom prst="rect">
          <a:avLst/>
        </a:prstGeom>
        <a:noFill/>
        <a:ln w="9525">
          <a:noFill/>
          <a:miter lim="800000"/>
          <a:headEnd/>
          <a:tailEnd/>
        </a:ln>
      </xdr:spPr>
    </xdr:pic>
    <xdr:clientData/>
  </xdr:twoCellAnchor>
  <xdr:twoCellAnchor editAs="oneCell">
    <xdr:from>
      <xdr:col>3</xdr:col>
      <xdr:colOff>0</xdr:colOff>
      <xdr:row>197</xdr:row>
      <xdr:rowOff>0</xdr:rowOff>
    </xdr:from>
    <xdr:to>
      <xdr:col>3</xdr:col>
      <xdr:colOff>95250</xdr:colOff>
      <xdr:row>197</xdr:row>
      <xdr:rowOff>114300</xdr:rowOff>
    </xdr:to>
    <xdr:pic>
      <xdr:nvPicPr>
        <xdr:cNvPr id="196" name="Grafik 21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9690675"/>
          <a:ext cx="95250" cy="104775"/>
        </a:xfrm>
        <a:prstGeom prst="rect">
          <a:avLst/>
        </a:prstGeom>
        <a:noFill/>
        <a:ln w="9525">
          <a:noFill/>
          <a:miter lim="800000"/>
          <a:headEnd/>
          <a:tailEnd/>
        </a:ln>
      </xdr:spPr>
    </xdr:pic>
    <xdr:clientData/>
  </xdr:twoCellAnchor>
  <xdr:twoCellAnchor editAs="oneCell">
    <xdr:from>
      <xdr:col>3</xdr:col>
      <xdr:colOff>0</xdr:colOff>
      <xdr:row>198</xdr:row>
      <xdr:rowOff>0</xdr:rowOff>
    </xdr:from>
    <xdr:to>
      <xdr:col>3</xdr:col>
      <xdr:colOff>95250</xdr:colOff>
      <xdr:row>198</xdr:row>
      <xdr:rowOff>104775</xdr:rowOff>
    </xdr:to>
    <xdr:pic>
      <xdr:nvPicPr>
        <xdr:cNvPr id="197" name="Grafik 21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39890700"/>
          <a:ext cx="95250" cy="104775"/>
        </a:xfrm>
        <a:prstGeom prst="rect">
          <a:avLst/>
        </a:prstGeom>
        <a:noFill/>
        <a:ln w="9525">
          <a:noFill/>
          <a:miter lim="800000"/>
          <a:headEnd/>
          <a:tailEnd/>
        </a:ln>
      </xdr:spPr>
    </xdr:pic>
    <xdr:clientData/>
  </xdr:twoCellAnchor>
  <xdr:twoCellAnchor editAs="oneCell">
    <xdr:from>
      <xdr:col>3</xdr:col>
      <xdr:colOff>0</xdr:colOff>
      <xdr:row>199</xdr:row>
      <xdr:rowOff>0</xdr:rowOff>
    </xdr:from>
    <xdr:to>
      <xdr:col>3</xdr:col>
      <xdr:colOff>95250</xdr:colOff>
      <xdr:row>199</xdr:row>
      <xdr:rowOff>114300</xdr:rowOff>
    </xdr:to>
    <xdr:pic>
      <xdr:nvPicPr>
        <xdr:cNvPr id="198" name="Grafik 21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0090725"/>
          <a:ext cx="95250" cy="104775"/>
        </a:xfrm>
        <a:prstGeom prst="rect">
          <a:avLst/>
        </a:prstGeom>
        <a:noFill/>
        <a:ln w="9525">
          <a:noFill/>
          <a:miter lim="800000"/>
          <a:headEnd/>
          <a:tailEnd/>
        </a:ln>
      </xdr:spPr>
    </xdr:pic>
    <xdr:clientData/>
  </xdr:twoCellAnchor>
  <xdr:twoCellAnchor editAs="oneCell">
    <xdr:from>
      <xdr:col>3</xdr:col>
      <xdr:colOff>0</xdr:colOff>
      <xdr:row>200</xdr:row>
      <xdr:rowOff>0</xdr:rowOff>
    </xdr:from>
    <xdr:to>
      <xdr:col>3</xdr:col>
      <xdr:colOff>95250</xdr:colOff>
      <xdr:row>200</xdr:row>
      <xdr:rowOff>104775</xdr:rowOff>
    </xdr:to>
    <xdr:pic>
      <xdr:nvPicPr>
        <xdr:cNvPr id="199" name="Grafik 21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0290750"/>
          <a:ext cx="95250" cy="104775"/>
        </a:xfrm>
        <a:prstGeom prst="rect">
          <a:avLst/>
        </a:prstGeom>
        <a:noFill/>
        <a:ln w="9525">
          <a:noFill/>
          <a:miter lim="800000"/>
          <a:headEnd/>
          <a:tailEnd/>
        </a:ln>
      </xdr:spPr>
    </xdr:pic>
    <xdr:clientData/>
  </xdr:twoCellAnchor>
  <xdr:twoCellAnchor editAs="oneCell">
    <xdr:from>
      <xdr:col>3</xdr:col>
      <xdr:colOff>0</xdr:colOff>
      <xdr:row>201</xdr:row>
      <xdr:rowOff>0</xdr:rowOff>
    </xdr:from>
    <xdr:to>
      <xdr:col>3</xdr:col>
      <xdr:colOff>95250</xdr:colOff>
      <xdr:row>201</xdr:row>
      <xdr:rowOff>114300</xdr:rowOff>
    </xdr:to>
    <xdr:pic>
      <xdr:nvPicPr>
        <xdr:cNvPr id="200" name="Grafik 21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0490775"/>
          <a:ext cx="95250" cy="104775"/>
        </a:xfrm>
        <a:prstGeom prst="rect">
          <a:avLst/>
        </a:prstGeom>
        <a:noFill/>
        <a:ln w="9525">
          <a:noFill/>
          <a:miter lim="800000"/>
          <a:headEnd/>
          <a:tailEnd/>
        </a:ln>
      </xdr:spPr>
    </xdr:pic>
    <xdr:clientData/>
  </xdr:twoCellAnchor>
  <xdr:twoCellAnchor editAs="oneCell">
    <xdr:from>
      <xdr:col>3</xdr:col>
      <xdr:colOff>0</xdr:colOff>
      <xdr:row>202</xdr:row>
      <xdr:rowOff>0</xdr:rowOff>
    </xdr:from>
    <xdr:to>
      <xdr:col>3</xdr:col>
      <xdr:colOff>95250</xdr:colOff>
      <xdr:row>202</xdr:row>
      <xdr:rowOff>104775</xdr:rowOff>
    </xdr:to>
    <xdr:pic>
      <xdr:nvPicPr>
        <xdr:cNvPr id="201" name="Grafik 21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0690800"/>
          <a:ext cx="95250" cy="104775"/>
        </a:xfrm>
        <a:prstGeom prst="rect">
          <a:avLst/>
        </a:prstGeom>
        <a:noFill/>
        <a:ln w="9525">
          <a:noFill/>
          <a:miter lim="800000"/>
          <a:headEnd/>
          <a:tailEnd/>
        </a:ln>
      </xdr:spPr>
    </xdr:pic>
    <xdr:clientData/>
  </xdr:twoCellAnchor>
  <xdr:twoCellAnchor editAs="oneCell">
    <xdr:from>
      <xdr:col>3</xdr:col>
      <xdr:colOff>0</xdr:colOff>
      <xdr:row>203</xdr:row>
      <xdr:rowOff>0</xdr:rowOff>
    </xdr:from>
    <xdr:to>
      <xdr:col>3</xdr:col>
      <xdr:colOff>95250</xdr:colOff>
      <xdr:row>203</xdr:row>
      <xdr:rowOff>114300</xdr:rowOff>
    </xdr:to>
    <xdr:pic>
      <xdr:nvPicPr>
        <xdr:cNvPr id="202" name="Grafik 21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0890825"/>
          <a:ext cx="95250" cy="104775"/>
        </a:xfrm>
        <a:prstGeom prst="rect">
          <a:avLst/>
        </a:prstGeom>
        <a:noFill/>
        <a:ln w="9525">
          <a:noFill/>
          <a:miter lim="800000"/>
          <a:headEnd/>
          <a:tailEnd/>
        </a:ln>
      </xdr:spPr>
    </xdr:pic>
    <xdr:clientData/>
  </xdr:twoCellAnchor>
  <xdr:twoCellAnchor editAs="oneCell">
    <xdr:from>
      <xdr:col>3</xdr:col>
      <xdr:colOff>0</xdr:colOff>
      <xdr:row>204</xdr:row>
      <xdr:rowOff>0</xdr:rowOff>
    </xdr:from>
    <xdr:to>
      <xdr:col>3</xdr:col>
      <xdr:colOff>95250</xdr:colOff>
      <xdr:row>204</xdr:row>
      <xdr:rowOff>104775</xdr:rowOff>
    </xdr:to>
    <xdr:pic>
      <xdr:nvPicPr>
        <xdr:cNvPr id="203" name="Grafik 21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1090850"/>
          <a:ext cx="95250" cy="104775"/>
        </a:xfrm>
        <a:prstGeom prst="rect">
          <a:avLst/>
        </a:prstGeom>
        <a:noFill/>
        <a:ln w="9525">
          <a:noFill/>
          <a:miter lim="800000"/>
          <a:headEnd/>
          <a:tailEnd/>
        </a:ln>
      </xdr:spPr>
    </xdr:pic>
    <xdr:clientData/>
  </xdr:twoCellAnchor>
  <xdr:twoCellAnchor editAs="oneCell">
    <xdr:from>
      <xdr:col>3</xdr:col>
      <xdr:colOff>0</xdr:colOff>
      <xdr:row>205</xdr:row>
      <xdr:rowOff>0</xdr:rowOff>
    </xdr:from>
    <xdr:to>
      <xdr:col>3</xdr:col>
      <xdr:colOff>95250</xdr:colOff>
      <xdr:row>205</xdr:row>
      <xdr:rowOff>114300</xdr:rowOff>
    </xdr:to>
    <xdr:pic>
      <xdr:nvPicPr>
        <xdr:cNvPr id="204" name="Grafik 21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1290875"/>
          <a:ext cx="95250" cy="104775"/>
        </a:xfrm>
        <a:prstGeom prst="rect">
          <a:avLst/>
        </a:prstGeom>
        <a:noFill/>
        <a:ln w="9525">
          <a:noFill/>
          <a:miter lim="800000"/>
          <a:headEnd/>
          <a:tailEnd/>
        </a:ln>
      </xdr:spPr>
    </xdr:pic>
    <xdr:clientData/>
  </xdr:twoCellAnchor>
  <xdr:twoCellAnchor editAs="oneCell">
    <xdr:from>
      <xdr:col>3</xdr:col>
      <xdr:colOff>0</xdr:colOff>
      <xdr:row>206</xdr:row>
      <xdr:rowOff>0</xdr:rowOff>
    </xdr:from>
    <xdr:to>
      <xdr:col>3</xdr:col>
      <xdr:colOff>95250</xdr:colOff>
      <xdr:row>206</xdr:row>
      <xdr:rowOff>104775</xdr:rowOff>
    </xdr:to>
    <xdr:pic>
      <xdr:nvPicPr>
        <xdr:cNvPr id="205" name="Grafik 21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1490900"/>
          <a:ext cx="95250" cy="104775"/>
        </a:xfrm>
        <a:prstGeom prst="rect">
          <a:avLst/>
        </a:prstGeom>
        <a:noFill/>
        <a:ln w="9525">
          <a:noFill/>
          <a:miter lim="800000"/>
          <a:headEnd/>
          <a:tailEnd/>
        </a:ln>
      </xdr:spPr>
    </xdr:pic>
    <xdr:clientData/>
  </xdr:twoCellAnchor>
  <xdr:twoCellAnchor editAs="oneCell">
    <xdr:from>
      <xdr:col>3</xdr:col>
      <xdr:colOff>0</xdr:colOff>
      <xdr:row>207</xdr:row>
      <xdr:rowOff>0</xdr:rowOff>
    </xdr:from>
    <xdr:to>
      <xdr:col>3</xdr:col>
      <xdr:colOff>95250</xdr:colOff>
      <xdr:row>207</xdr:row>
      <xdr:rowOff>114300</xdr:rowOff>
    </xdr:to>
    <xdr:pic>
      <xdr:nvPicPr>
        <xdr:cNvPr id="206" name="Grafik 22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1690925"/>
          <a:ext cx="95250" cy="104775"/>
        </a:xfrm>
        <a:prstGeom prst="rect">
          <a:avLst/>
        </a:prstGeom>
        <a:noFill/>
        <a:ln w="9525">
          <a:noFill/>
          <a:miter lim="800000"/>
          <a:headEnd/>
          <a:tailEnd/>
        </a:ln>
      </xdr:spPr>
    </xdr:pic>
    <xdr:clientData/>
  </xdr:twoCellAnchor>
  <xdr:twoCellAnchor editAs="oneCell">
    <xdr:from>
      <xdr:col>3</xdr:col>
      <xdr:colOff>0</xdr:colOff>
      <xdr:row>208</xdr:row>
      <xdr:rowOff>0</xdr:rowOff>
    </xdr:from>
    <xdr:to>
      <xdr:col>3</xdr:col>
      <xdr:colOff>95250</xdr:colOff>
      <xdr:row>208</xdr:row>
      <xdr:rowOff>104775</xdr:rowOff>
    </xdr:to>
    <xdr:pic>
      <xdr:nvPicPr>
        <xdr:cNvPr id="207" name="Grafik 22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1890950"/>
          <a:ext cx="95250" cy="104775"/>
        </a:xfrm>
        <a:prstGeom prst="rect">
          <a:avLst/>
        </a:prstGeom>
        <a:noFill/>
        <a:ln w="9525">
          <a:noFill/>
          <a:miter lim="800000"/>
          <a:headEnd/>
          <a:tailEnd/>
        </a:ln>
      </xdr:spPr>
    </xdr:pic>
    <xdr:clientData/>
  </xdr:twoCellAnchor>
  <xdr:twoCellAnchor editAs="oneCell">
    <xdr:from>
      <xdr:col>3</xdr:col>
      <xdr:colOff>0</xdr:colOff>
      <xdr:row>209</xdr:row>
      <xdr:rowOff>0</xdr:rowOff>
    </xdr:from>
    <xdr:to>
      <xdr:col>3</xdr:col>
      <xdr:colOff>95250</xdr:colOff>
      <xdr:row>209</xdr:row>
      <xdr:rowOff>114300</xdr:rowOff>
    </xdr:to>
    <xdr:pic>
      <xdr:nvPicPr>
        <xdr:cNvPr id="208" name="Grafik 22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2090975"/>
          <a:ext cx="95250" cy="104775"/>
        </a:xfrm>
        <a:prstGeom prst="rect">
          <a:avLst/>
        </a:prstGeom>
        <a:noFill/>
        <a:ln w="9525">
          <a:noFill/>
          <a:miter lim="800000"/>
          <a:headEnd/>
          <a:tailEnd/>
        </a:ln>
      </xdr:spPr>
    </xdr:pic>
    <xdr:clientData/>
  </xdr:twoCellAnchor>
  <xdr:twoCellAnchor editAs="oneCell">
    <xdr:from>
      <xdr:col>3</xdr:col>
      <xdr:colOff>0</xdr:colOff>
      <xdr:row>210</xdr:row>
      <xdr:rowOff>0</xdr:rowOff>
    </xdr:from>
    <xdr:to>
      <xdr:col>3</xdr:col>
      <xdr:colOff>95250</xdr:colOff>
      <xdr:row>210</xdr:row>
      <xdr:rowOff>104775</xdr:rowOff>
    </xdr:to>
    <xdr:pic>
      <xdr:nvPicPr>
        <xdr:cNvPr id="209" name="Grafik 22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2291000"/>
          <a:ext cx="95250" cy="104775"/>
        </a:xfrm>
        <a:prstGeom prst="rect">
          <a:avLst/>
        </a:prstGeom>
        <a:noFill/>
        <a:ln w="9525">
          <a:noFill/>
          <a:miter lim="800000"/>
          <a:headEnd/>
          <a:tailEnd/>
        </a:ln>
      </xdr:spPr>
    </xdr:pic>
    <xdr:clientData/>
  </xdr:twoCellAnchor>
  <xdr:twoCellAnchor editAs="oneCell">
    <xdr:from>
      <xdr:col>3</xdr:col>
      <xdr:colOff>0</xdr:colOff>
      <xdr:row>211</xdr:row>
      <xdr:rowOff>0</xdr:rowOff>
    </xdr:from>
    <xdr:to>
      <xdr:col>3</xdr:col>
      <xdr:colOff>95250</xdr:colOff>
      <xdr:row>211</xdr:row>
      <xdr:rowOff>114300</xdr:rowOff>
    </xdr:to>
    <xdr:pic>
      <xdr:nvPicPr>
        <xdr:cNvPr id="210" name="Grafik 22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2491025"/>
          <a:ext cx="95250" cy="104775"/>
        </a:xfrm>
        <a:prstGeom prst="rect">
          <a:avLst/>
        </a:prstGeom>
        <a:noFill/>
        <a:ln w="9525">
          <a:noFill/>
          <a:miter lim="800000"/>
          <a:headEnd/>
          <a:tailEnd/>
        </a:ln>
      </xdr:spPr>
    </xdr:pic>
    <xdr:clientData/>
  </xdr:twoCellAnchor>
  <xdr:twoCellAnchor editAs="oneCell">
    <xdr:from>
      <xdr:col>3</xdr:col>
      <xdr:colOff>0</xdr:colOff>
      <xdr:row>212</xdr:row>
      <xdr:rowOff>0</xdr:rowOff>
    </xdr:from>
    <xdr:to>
      <xdr:col>3</xdr:col>
      <xdr:colOff>95250</xdr:colOff>
      <xdr:row>212</xdr:row>
      <xdr:rowOff>104775</xdr:rowOff>
    </xdr:to>
    <xdr:pic>
      <xdr:nvPicPr>
        <xdr:cNvPr id="211" name="Grafik 22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2691050"/>
          <a:ext cx="95250" cy="104775"/>
        </a:xfrm>
        <a:prstGeom prst="rect">
          <a:avLst/>
        </a:prstGeom>
        <a:noFill/>
        <a:ln w="9525">
          <a:noFill/>
          <a:miter lim="800000"/>
          <a:headEnd/>
          <a:tailEnd/>
        </a:ln>
      </xdr:spPr>
    </xdr:pic>
    <xdr:clientData/>
  </xdr:twoCellAnchor>
  <xdr:twoCellAnchor editAs="oneCell">
    <xdr:from>
      <xdr:col>3</xdr:col>
      <xdr:colOff>0</xdr:colOff>
      <xdr:row>213</xdr:row>
      <xdr:rowOff>0</xdr:rowOff>
    </xdr:from>
    <xdr:to>
      <xdr:col>3</xdr:col>
      <xdr:colOff>95250</xdr:colOff>
      <xdr:row>213</xdr:row>
      <xdr:rowOff>114300</xdr:rowOff>
    </xdr:to>
    <xdr:pic>
      <xdr:nvPicPr>
        <xdr:cNvPr id="212" name="Grafik 22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2891075"/>
          <a:ext cx="95250" cy="104775"/>
        </a:xfrm>
        <a:prstGeom prst="rect">
          <a:avLst/>
        </a:prstGeom>
        <a:noFill/>
        <a:ln w="9525">
          <a:noFill/>
          <a:miter lim="800000"/>
          <a:headEnd/>
          <a:tailEnd/>
        </a:ln>
      </xdr:spPr>
    </xdr:pic>
    <xdr:clientData/>
  </xdr:twoCellAnchor>
  <xdr:twoCellAnchor editAs="oneCell">
    <xdr:from>
      <xdr:col>3</xdr:col>
      <xdr:colOff>0</xdr:colOff>
      <xdr:row>214</xdr:row>
      <xdr:rowOff>0</xdr:rowOff>
    </xdr:from>
    <xdr:to>
      <xdr:col>3</xdr:col>
      <xdr:colOff>95250</xdr:colOff>
      <xdr:row>214</xdr:row>
      <xdr:rowOff>104775</xdr:rowOff>
    </xdr:to>
    <xdr:pic>
      <xdr:nvPicPr>
        <xdr:cNvPr id="213" name="Grafik 22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3091100"/>
          <a:ext cx="95250" cy="104775"/>
        </a:xfrm>
        <a:prstGeom prst="rect">
          <a:avLst/>
        </a:prstGeom>
        <a:noFill/>
        <a:ln w="9525">
          <a:noFill/>
          <a:miter lim="800000"/>
          <a:headEnd/>
          <a:tailEnd/>
        </a:ln>
      </xdr:spPr>
    </xdr:pic>
    <xdr:clientData/>
  </xdr:twoCellAnchor>
  <xdr:twoCellAnchor editAs="oneCell">
    <xdr:from>
      <xdr:col>3</xdr:col>
      <xdr:colOff>0</xdr:colOff>
      <xdr:row>215</xdr:row>
      <xdr:rowOff>0</xdr:rowOff>
    </xdr:from>
    <xdr:to>
      <xdr:col>3</xdr:col>
      <xdr:colOff>95250</xdr:colOff>
      <xdr:row>215</xdr:row>
      <xdr:rowOff>114300</xdr:rowOff>
    </xdr:to>
    <xdr:pic>
      <xdr:nvPicPr>
        <xdr:cNvPr id="214" name="Grafik 22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3291125"/>
          <a:ext cx="95250" cy="104775"/>
        </a:xfrm>
        <a:prstGeom prst="rect">
          <a:avLst/>
        </a:prstGeom>
        <a:noFill/>
        <a:ln w="9525">
          <a:noFill/>
          <a:miter lim="800000"/>
          <a:headEnd/>
          <a:tailEnd/>
        </a:ln>
      </xdr:spPr>
    </xdr:pic>
    <xdr:clientData/>
  </xdr:twoCellAnchor>
  <xdr:twoCellAnchor editAs="oneCell">
    <xdr:from>
      <xdr:col>3</xdr:col>
      <xdr:colOff>0</xdr:colOff>
      <xdr:row>216</xdr:row>
      <xdr:rowOff>0</xdr:rowOff>
    </xdr:from>
    <xdr:to>
      <xdr:col>3</xdr:col>
      <xdr:colOff>95250</xdr:colOff>
      <xdr:row>216</xdr:row>
      <xdr:rowOff>104775</xdr:rowOff>
    </xdr:to>
    <xdr:pic>
      <xdr:nvPicPr>
        <xdr:cNvPr id="215" name="Grafik 22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3491150"/>
          <a:ext cx="95250" cy="104775"/>
        </a:xfrm>
        <a:prstGeom prst="rect">
          <a:avLst/>
        </a:prstGeom>
        <a:noFill/>
        <a:ln w="9525">
          <a:noFill/>
          <a:miter lim="800000"/>
          <a:headEnd/>
          <a:tailEnd/>
        </a:ln>
      </xdr:spPr>
    </xdr:pic>
    <xdr:clientData/>
  </xdr:twoCellAnchor>
  <xdr:twoCellAnchor editAs="oneCell">
    <xdr:from>
      <xdr:col>3</xdr:col>
      <xdr:colOff>0</xdr:colOff>
      <xdr:row>217</xdr:row>
      <xdr:rowOff>0</xdr:rowOff>
    </xdr:from>
    <xdr:to>
      <xdr:col>3</xdr:col>
      <xdr:colOff>95250</xdr:colOff>
      <xdr:row>217</xdr:row>
      <xdr:rowOff>114300</xdr:rowOff>
    </xdr:to>
    <xdr:pic>
      <xdr:nvPicPr>
        <xdr:cNvPr id="216" name="Grafik 23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3691175"/>
          <a:ext cx="95250" cy="104775"/>
        </a:xfrm>
        <a:prstGeom prst="rect">
          <a:avLst/>
        </a:prstGeom>
        <a:noFill/>
        <a:ln w="9525">
          <a:noFill/>
          <a:miter lim="800000"/>
          <a:headEnd/>
          <a:tailEnd/>
        </a:ln>
      </xdr:spPr>
    </xdr:pic>
    <xdr:clientData/>
  </xdr:twoCellAnchor>
  <xdr:twoCellAnchor editAs="oneCell">
    <xdr:from>
      <xdr:col>3</xdr:col>
      <xdr:colOff>0</xdr:colOff>
      <xdr:row>218</xdr:row>
      <xdr:rowOff>0</xdr:rowOff>
    </xdr:from>
    <xdr:to>
      <xdr:col>3</xdr:col>
      <xdr:colOff>95250</xdr:colOff>
      <xdr:row>218</xdr:row>
      <xdr:rowOff>104775</xdr:rowOff>
    </xdr:to>
    <xdr:pic>
      <xdr:nvPicPr>
        <xdr:cNvPr id="217" name="Grafik 23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3891200"/>
          <a:ext cx="95250" cy="104775"/>
        </a:xfrm>
        <a:prstGeom prst="rect">
          <a:avLst/>
        </a:prstGeom>
        <a:noFill/>
        <a:ln w="9525">
          <a:noFill/>
          <a:miter lim="800000"/>
          <a:headEnd/>
          <a:tailEnd/>
        </a:ln>
      </xdr:spPr>
    </xdr:pic>
    <xdr:clientData/>
  </xdr:twoCellAnchor>
  <xdr:twoCellAnchor editAs="oneCell">
    <xdr:from>
      <xdr:col>3</xdr:col>
      <xdr:colOff>0</xdr:colOff>
      <xdr:row>219</xdr:row>
      <xdr:rowOff>0</xdr:rowOff>
    </xdr:from>
    <xdr:to>
      <xdr:col>3</xdr:col>
      <xdr:colOff>95250</xdr:colOff>
      <xdr:row>219</xdr:row>
      <xdr:rowOff>114300</xdr:rowOff>
    </xdr:to>
    <xdr:pic>
      <xdr:nvPicPr>
        <xdr:cNvPr id="218" name="Grafik 23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4091225"/>
          <a:ext cx="95250" cy="104775"/>
        </a:xfrm>
        <a:prstGeom prst="rect">
          <a:avLst/>
        </a:prstGeom>
        <a:noFill/>
        <a:ln w="9525">
          <a:noFill/>
          <a:miter lim="800000"/>
          <a:headEnd/>
          <a:tailEnd/>
        </a:ln>
      </xdr:spPr>
    </xdr:pic>
    <xdr:clientData/>
  </xdr:twoCellAnchor>
  <xdr:twoCellAnchor editAs="oneCell">
    <xdr:from>
      <xdr:col>3</xdr:col>
      <xdr:colOff>0</xdr:colOff>
      <xdr:row>220</xdr:row>
      <xdr:rowOff>0</xdr:rowOff>
    </xdr:from>
    <xdr:to>
      <xdr:col>3</xdr:col>
      <xdr:colOff>95250</xdr:colOff>
      <xdr:row>220</xdr:row>
      <xdr:rowOff>104775</xdr:rowOff>
    </xdr:to>
    <xdr:pic>
      <xdr:nvPicPr>
        <xdr:cNvPr id="219" name="Grafik 23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4291250"/>
          <a:ext cx="95250" cy="104775"/>
        </a:xfrm>
        <a:prstGeom prst="rect">
          <a:avLst/>
        </a:prstGeom>
        <a:noFill/>
        <a:ln w="9525">
          <a:noFill/>
          <a:miter lim="800000"/>
          <a:headEnd/>
          <a:tailEnd/>
        </a:ln>
      </xdr:spPr>
    </xdr:pic>
    <xdr:clientData/>
  </xdr:twoCellAnchor>
  <xdr:twoCellAnchor editAs="oneCell">
    <xdr:from>
      <xdr:col>3</xdr:col>
      <xdr:colOff>0</xdr:colOff>
      <xdr:row>221</xdr:row>
      <xdr:rowOff>0</xdr:rowOff>
    </xdr:from>
    <xdr:to>
      <xdr:col>3</xdr:col>
      <xdr:colOff>95250</xdr:colOff>
      <xdr:row>221</xdr:row>
      <xdr:rowOff>114300</xdr:rowOff>
    </xdr:to>
    <xdr:pic>
      <xdr:nvPicPr>
        <xdr:cNvPr id="220" name="Grafik 23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4491275"/>
          <a:ext cx="95250" cy="104775"/>
        </a:xfrm>
        <a:prstGeom prst="rect">
          <a:avLst/>
        </a:prstGeom>
        <a:noFill/>
        <a:ln w="9525">
          <a:noFill/>
          <a:miter lim="800000"/>
          <a:headEnd/>
          <a:tailEnd/>
        </a:ln>
      </xdr:spPr>
    </xdr:pic>
    <xdr:clientData/>
  </xdr:twoCellAnchor>
  <xdr:twoCellAnchor editAs="oneCell">
    <xdr:from>
      <xdr:col>3</xdr:col>
      <xdr:colOff>0</xdr:colOff>
      <xdr:row>222</xdr:row>
      <xdr:rowOff>0</xdr:rowOff>
    </xdr:from>
    <xdr:to>
      <xdr:col>3</xdr:col>
      <xdr:colOff>95250</xdr:colOff>
      <xdr:row>222</xdr:row>
      <xdr:rowOff>104775</xdr:rowOff>
    </xdr:to>
    <xdr:pic>
      <xdr:nvPicPr>
        <xdr:cNvPr id="221" name="Grafik 23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4691300"/>
          <a:ext cx="95250" cy="104775"/>
        </a:xfrm>
        <a:prstGeom prst="rect">
          <a:avLst/>
        </a:prstGeom>
        <a:noFill/>
        <a:ln w="9525">
          <a:noFill/>
          <a:miter lim="800000"/>
          <a:headEnd/>
          <a:tailEnd/>
        </a:ln>
      </xdr:spPr>
    </xdr:pic>
    <xdr:clientData/>
  </xdr:twoCellAnchor>
  <xdr:twoCellAnchor editAs="oneCell">
    <xdr:from>
      <xdr:col>3</xdr:col>
      <xdr:colOff>0</xdr:colOff>
      <xdr:row>223</xdr:row>
      <xdr:rowOff>0</xdr:rowOff>
    </xdr:from>
    <xdr:to>
      <xdr:col>3</xdr:col>
      <xdr:colOff>95250</xdr:colOff>
      <xdr:row>223</xdr:row>
      <xdr:rowOff>114300</xdr:rowOff>
    </xdr:to>
    <xdr:pic>
      <xdr:nvPicPr>
        <xdr:cNvPr id="222" name="Grafik 23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4891325"/>
          <a:ext cx="95250" cy="104775"/>
        </a:xfrm>
        <a:prstGeom prst="rect">
          <a:avLst/>
        </a:prstGeom>
        <a:noFill/>
        <a:ln w="9525">
          <a:noFill/>
          <a:miter lim="800000"/>
          <a:headEnd/>
          <a:tailEnd/>
        </a:ln>
      </xdr:spPr>
    </xdr:pic>
    <xdr:clientData/>
  </xdr:twoCellAnchor>
  <xdr:twoCellAnchor editAs="oneCell">
    <xdr:from>
      <xdr:col>3</xdr:col>
      <xdr:colOff>0</xdr:colOff>
      <xdr:row>224</xdr:row>
      <xdr:rowOff>0</xdr:rowOff>
    </xdr:from>
    <xdr:to>
      <xdr:col>3</xdr:col>
      <xdr:colOff>95250</xdr:colOff>
      <xdr:row>224</xdr:row>
      <xdr:rowOff>104775</xdr:rowOff>
    </xdr:to>
    <xdr:pic>
      <xdr:nvPicPr>
        <xdr:cNvPr id="223" name="Grafik 23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5091350"/>
          <a:ext cx="95250" cy="104775"/>
        </a:xfrm>
        <a:prstGeom prst="rect">
          <a:avLst/>
        </a:prstGeom>
        <a:noFill/>
        <a:ln w="9525">
          <a:noFill/>
          <a:miter lim="800000"/>
          <a:headEnd/>
          <a:tailEnd/>
        </a:ln>
      </xdr:spPr>
    </xdr:pic>
    <xdr:clientData/>
  </xdr:twoCellAnchor>
  <xdr:twoCellAnchor editAs="oneCell">
    <xdr:from>
      <xdr:col>3</xdr:col>
      <xdr:colOff>0</xdr:colOff>
      <xdr:row>225</xdr:row>
      <xdr:rowOff>0</xdr:rowOff>
    </xdr:from>
    <xdr:to>
      <xdr:col>3</xdr:col>
      <xdr:colOff>95250</xdr:colOff>
      <xdr:row>225</xdr:row>
      <xdr:rowOff>114300</xdr:rowOff>
    </xdr:to>
    <xdr:pic>
      <xdr:nvPicPr>
        <xdr:cNvPr id="224" name="Grafik 23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5291375"/>
          <a:ext cx="95250" cy="104775"/>
        </a:xfrm>
        <a:prstGeom prst="rect">
          <a:avLst/>
        </a:prstGeom>
        <a:noFill/>
        <a:ln w="9525">
          <a:noFill/>
          <a:miter lim="800000"/>
          <a:headEnd/>
          <a:tailEnd/>
        </a:ln>
      </xdr:spPr>
    </xdr:pic>
    <xdr:clientData/>
  </xdr:twoCellAnchor>
  <xdr:twoCellAnchor editAs="oneCell">
    <xdr:from>
      <xdr:col>3</xdr:col>
      <xdr:colOff>0</xdr:colOff>
      <xdr:row>226</xdr:row>
      <xdr:rowOff>0</xdr:rowOff>
    </xdr:from>
    <xdr:to>
      <xdr:col>3</xdr:col>
      <xdr:colOff>95250</xdr:colOff>
      <xdr:row>226</xdr:row>
      <xdr:rowOff>104775</xdr:rowOff>
    </xdr:to>
    <xdr:pic>
      <xdr:nvPicPr>
        <xdr:cNvPr id="225" name="Grafik 23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5491400"/>
          <a:ext cx="95250" cy="104775"/>
        </a:xfrm>
        <a:prstGeom prst="rect">
          <a:avLst/>
        </a:prstGeom>
        <a:noFill/>
        <a:ln w="9525">
          <a:noFill/>
          <a:miter lim="800000"/>
          <a:headEnd/>
          <a:tailEnd/>
        </a:ln>
      </xdr:spPr>
    </xdr:pic>
    <xdr:clientData/>
  </xdr:twoCellAnchor>
  <xdr:twoCellAnchor editAs="oneCell">
    <xdr:from>
      <xdr:col>3</xdr:col>
      <xdr:colOff>0</xdr:colOff>
      <xdr:row>227</xdr:row>
      <xdr:rowOff>0</xdr:rowOff>
    </xdr:from>
    <xdr:to>
      <xdr:col>3</xdr:col>
      <xdr:colOff>95250</xdr:colOff>
      <xdr:row>227</xdr:row>
      <xdr:rowOff>114300</xdr:rowOff>
    </xdr:to>
    <xdr:pic>
      <xdr:nvPicPr>
        <xdr:cNvPr id="226" name="Grafik 24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5691425"/>
          <a:ext cx="95250" cy="104775"/>
        </a:xfrm>
        <a:prstGeom prst="rect">
          <a:avLst/>
        </a:prstGeom>
        <a:noFill/>
        <a:ln w="9525">
          <a:noFill/>
          <a:miter lim="800000"/>
          <a:headEnd/>
          <a:tailEnd/>
        </a:ln>
      </xdr:spPr>
    </xdr:pic>
    <xdr:clientData/>
  </xdr:twoCellAnchor>
  <xdr:twoCellAnchor editAs="oneCell">
    <xdr:from>
      <xdr:col>3</xdr:col>
      <xdr:colOff>0</xdr:colOff>
      <xdr:row>228</xdr:row>
      <xdr:rowOff>0</xdr:rowOff>
    </xdr:from>
    <xdr:to>
      <xdr:col>3</xdr:col>
      <xdr:colOff>95250</xdr:colOff>
      <xdr:row>228</xdr:row>
      <xdr:rowOff>104775</xdr:rowOff>
    </xdr:to>
    <xdr:pic>
      <xdr:nvPicPr>
        <xdr:cNvPr id="227" name="Grafik 24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5891450"/>
          <a:ext cx="95250" cy="104775"/>
        </a:xfrm>
        <a:prstGeom prst="rect">
          <a:avLst/>
        </a:prstGeom>
        <a:noFill/>
        <a:ln w="9525">
          <a:noFill/>
          <a:miter lim="800000"/>
          <a:headEnd/>
          <a:tailEnd/>
        </a:ln>
      </xdr:spPr>
    </xdr:pic>
    <xdr:clientData/>
  </xdr:twoCellAnchor>
  <xdr:twoCellAnchor editAs="oneCell">
    <xdr:from>
      <xdr:col>3</xdr:col>
      <xdr:colOff>0</xdr:colOff>
      <xdr:row>229</xdr:row>
      <xdr:rowOff>0</xdr:rowOff>
    </xdr:from>
    <xdr:to>
      <xdr:col>3</xdr:col>
      <xdr:colOff>95250</xdr:colOff>
      <xdr:row>229</xdr:row>
      <xdr:rowOff>114300</xdr:rowOff>
    </xdr:to>
    <xdr:pic>
      <xdr:nvPicPr>
        <xdr:cNvPr id="228" name="Grafik 24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6091475"/>
          <a:ext cx="95250" cy="104775"/>
        </a:xfrm>
        <a:prstGeom prst="rect">
          <a:avLst/>
        </a:prstGeom>
        <a:noFill/>
        <a:ln w="9525">
          <a:noFill/>
          <a:miter lim="800000"/>
          <a:headEnd/>
          <a:tailEnd/>
        </a:ln>
      </xdr:spPr>
    </xdr:pic>
    <xdr:clientData/>
  </xdr:twoCellAnchor>
  <xdr:twoCellAnchor editAs="oneCell">
    <xdr:from>
      <xdr:col>3</xdr:col>
      <xdr:colOff>0</xdr:colOff>
      <xdr:row>230</xdr:row>
      <xdr:rowOff>0</xdr:rowOff>
    </xdr:from>
    <xdr:to>
      <xdr:col>3</xdr:col>
      <xdr:colOff>95250</xdr:colOff>
      <xdr:row>230</xdr:row>
      <xdr:rowOff>104775</xdr:rowOff>
    </xdr:to>
    <xdr:pic>
      <xdr:nvPicPr>
        <xdr:cNvPr id="229" name="Grafik 24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6291500"/>
          <a:ext cx="95250" cy="104775"/>
        </a:xfrm>
        <a:prstGeom prst="rect">
          <a:avLst/>
        </a:prstGeom>
        <a:noFill/>
        <a:ln w="9525">
          <a:noFill/>
          <a:miter lim="800000"/>
          <a:headEnd/>
          <a:tailEnd/>
        </a:ln>
      </xdr:spPr>
    </xdr:pic>
    <xdr:clientData/>
  </xdr:twoCellAnchor>
  <xdr:twoCellAnchor editAs="oneCell">
    <xdr:from>
      <xdr:col>3</xdr:col>
      <xdr:colOff>0</xdr:colOff>
      <xdr:row>231</xdr:row>
      <xdr:rowOff>0</xdr:rowOff>
    </xdr:from>
    <xdr:to>
      <xdr:col>3</xdr:col>
      <xdr:colOff>95250</xdr:colOff>
      <xdr:row>231</xdr:row>
      <xdr:rowOff>114300</xdr:rowOff>
    </xdr:to>
    <xdr:pic>
      <xdr:nvPicPr>
        <xdr:cNvPr id="230" name="Grafik 24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6491525"/>
          <a:ext cx="95250" cy="104775"/>
        </a:xfrm>
        <a:prstGeom prst="rect">
          <a:avLst/>
        </a:prstGeom>
        <a:noFill/>
        <a:ln w="9525">
          <a:noFill/>
          <a:miter lim="800000"/>
          <a:headEnd/>
          <a:tailEnd/>
        </a:ln>
      </xdr:spPr>
    </xdr:pic>
    <xdr:clientData/>
  </xdr:twoCellAnchor>
  <xdr:twoCellAnchor editAs="oneCell">
    <xdr:from>
      <xdr:col>3</xdr:col>
      <xdr:colOff>0</xdr:colOff>
      <xdr:row>232</xdr:row>
      <xdr:rowOff>0</xdr:rowOff>
    </xdr:from>
    <xdr:to>
      <xdr:col>3</xdr:col>
      <xdr:colOff>95250</xdr:colOff>
      <xdr:row>232</xdr:row>
      <xdr:rowOff>104775</xdr:rowOff>
    </xdr:to>
    <xdr:pic>
      <xdr:nvPicPr>
        <xdr:cNvPr id="231" name="Grafik 24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6691550"/>
          <a:ext cx="95250" cy="104775"/>
        </a:xfrm>
        <a:prstGeom prst="rect">
          <a:avLst/>
        </a:prstGeom>
        <a:noFill/>
        <a:ln w="9525">
          <a:noFill/>
          <a:miter lim="800000"/>
          <a:headEnd/>
          <a:tailEnd/>
        </a:ln>
      </xdr:spPr>
    </xdr:pic>
    <xdr:clientData/>
  </xdr:twoCellAnchor>
  <xdr:twoCellAnchor editAs="oneCell">
    <xdr:from>
      <xdr:col>3</xdr:col>
      <xdr:colOff>0</xdr:colOff>
      <xdr:row>233</xdr:row>
      <xdr:rowOff>0</xdr:rowOff>
    </xdr:from>
    <xdr:to>
      <xdr:col>3</xdr:col>
      <xdr:colOff>95250</xdr:colOff>
      <xdr:row>233</xdr:row>
      <xdr:rowOff>114300</xdr:rowOff>
    </xdr:to>
    <xdr:pic>
      <xdr:nvPicPr>
        <xdr:cNvPr id="232" name="Grafik 24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6891575"/>
          <a:ext cx="95250" cy="104775"/>
        </a:xfrm>
        <a:prstGeom prst="rect">
          <a:avLst/>
        </a:prstGeom>
        <a:noFill/>
        <a:ln w="9525">
          <a:noFill/>
          <a:miter lim="800000"/>
          <a:headEnd/>
          <a:tailEnd/>
        </a:ln>
      </xdr:spPr>
    </xdr:pic>
    <xdr:clientData/>
  </xdr:twoCellAnchor>
  <xdr:twoCellAnchor editAs="oneCell">
    <xdr:from>
      <xdr:col>3</xdr:col>
      <xdr:colOff>0</xdr:colOff>
      <xdr:row>234</xdr:row>
      <xdr:rowOff>0</xdr:rowOff>
    </xdr:from>
    <xdr:to>
      <xdr:col>3</xdr:col>
      <xdr:colOff>95250</xdr:colOff>
      <xdr:row>234</xdr:row>
      <xdr:rowOff>104775</xdr:rowOff>
    </xdr:to>
    <xdr:pic>
      <xdr:nvPicPr>
        <xdr:cNvPr id="233" name="Grafik 24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7091600"/>
          <a:ext cx="95250" cy="104775"/>
        </a:xfrm>
        <a:prstGeom prst="rect">
          <a:avLst/>
        </a:prstGeom>
        <a:noFill/>
        <a:ln w="9525">
          <a:noFill/>
          <a:miter lim="800000"/>
          <a:headEnd/>
          <a:tailEnd/>
        </a:ln>
      </xdr:spPr>
    </xdr:pic>
    <xdr:clientData/>
  </xdr:twoCellAnchor>
  <xdr:twoCellAnchor editAs="oneCell">
    <xdr:from>
      <xdr:col>3</xdr:col>
      <xdr:colOff>0</xdr:colOff>
      <xdr:row>235</xdr:row>
      <xdr:rowOff>0</xdr:rowOff>
    </xdr:from>
    <xdr:to>
      <xdr:col>3</xdr:col>
      <xdr:colOff>95250</xdr:colOff>
      <xdr:row>235</xdr:row>
      <xdr:rowOff>114300</xdr:rowOff>
    </xdr:to>
    <xdr:pic>
      <xdr:nvPicPr>
        <xdr:cNvPr id="234" name="Grafik 24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7291625"/>
          <a:ext cx="95250" cy="104775"/>
        </a:xfrm>
        <a:prstGeom prst="rect">
          <a:avLst/>
        </a:prstGeom>
        <a:noFill/>
        <a:ln w="9525">
          <a:noFill/>
          <a:miter lim="800000"/>
          <a:headEnd/>
          <a:tailEnd/>
        </a:ln>
      </xdr:spPr>
    </xdr:pic>
    <xdr:clientData/>
  </xdr:twoCellAnchor>
  <xdr:twoCellAnchor editAs="oneCell">
    <xdr:from>
      <xdr:col>3</xdr:col>
      <xdr:colOff>0</xdr:colOff>
      <xdr:row>236</xdr:row>
      <xdr:rowOff>0</xdr:rowOff>
    </xdr:from>
    <xdr:to>
      <xdr:col>3</xdr:col>
      <xdr:colOff>95250</xdr:colOff>
      <xdr:row>236</xdr:row>
      <xdr:rowOff>104775</xdr:rowOff>
    </xdr:to>
    <xdr:pic>
      <xdr:nvPicPr>
        <xdr:cNvPr id="235" name="Grafik 24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7491650"/>
          <a:ext cx="95250" cy="104775"/>
        </a:xfrm>
        <a:prstGeom prst="rect">
          <a:avLst/>
        </a:prstGeom>
        <a:noFill/>
        <a:ln w="9525">
          <a:noFill/>
          <a:miter lim="800000"/>
          <a:headEnd/>
          <a:tailEnd/>
        </a:ln>
      </xdr:spPr>
    </xdr:pic>
    <xdr:clientData/>
  </xdr:twoCellAnchor>
  <xdr:twoCellAnchor editAs="oneCell">
    <xdr:from>
      <xdr:col>3</xdr:col>
      <xdr:colOff>0</xdr:colOff>
      <xdr:row>237</xdr:row>
      <xdr:rowOff>0</xdr:rowOff>
    </xdr:from>
    <xdr:to>
      <xdr:col>3</xdr:col>
      <xdr:colOff>95250</xdr:colOff>
      <xdr:row>237</xdr:row>
      <xdr:rowOff>114300</xdr:rowOff>
    </xdr:to>
    <xdr:pic>
      <xdr:nvPicPr>
        <xdr:cNvPr id="236" name="Grafik 25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7691675"/>
          <a:ext cx="95250" cy="104775"/>
        </a:xfrm>
        <a:prstGeom prst="rect">
          <a:avLst/>
        </a:prstGeom>
        <a:noFill/>
        <a:ln w="9525">
          <a:noFill/>
          <a:miter lim="800000"/>
          <a:headEnd/>
          <a:tailEnd/>
        </a:ln>
      </xdr:spPr>
    </xdr:pic>
    <xdr:clientData/>
  </xdr:twoCellAnchor>
  <xdr:twoCellAnchor editAs="oneCell">
    <xdr:from>
      <xdr:col>3</xdr:col>
      <xdr:colOff>0</xdr:colOff>
      <xdr:row>238</xdr:row>
      <xdr:rowOff>0</xdr:rowOff>
    </xdr:from>
    <xdr:to>
      <xdr:col>3</xdr:col>
      <xdr:colOff>95250</xdr:colOff>
      <xdr:row>238</xdr:row>
      <xdr:rowOff>104775</xdr:rowOff>
    </xdr:to>
    <xdr:pic>
      <xdr:nvPicPr>
        <xdr:cNvPr id="237" name="Grafik 25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7891700"/>
          <a:ext cx="95250" cy="104775"/>
        </a:xfrm>
        <a:prstGeom prst="rect">
          <a:avLst/>
        </a:prstGeom>
        <a:noFill/>
        <a:ln w="9525">
          <a:noFill/>
          <a:miter lim="800000"/>
          <a:headEnd/>
          <a:tailEnd/>
        </a:ln>
      </xdr:spPr>
    </xdr:pic>
    <xdr:clientData/>
  </xdr:twoCellAnchor>
  <xdr:twoCellAnchor editAs="oneCell">
    <xdr:from>
      <xdr:col>3</xdr:col>
      <xdr:colOff>0</xdr:colOff>
      <xdr:row>239</xdr:row>
      <xdr:rowOff>0</xdr:rowOff>
    </xdr:from>
    <xdr:to>
      <xdr:col>3</xdr:col>
      <xdr:colOff>95250</xdr:colOff>
      <xdr:row>239</xdr:row>
      <xdr:rowOff>114300</xdr:rowOff>
    </xdr:to>
    <xdr:pic>
      <xdr:nvPicPr>
        <xdr:cNvPr id="238" name="Grafik 25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8091725"/>
          <a:ext cx="95250" cy="104775"/>
        </a:xfrm>
        <a:prstGeom prst="rect">
          <a:avLst/>
        </a:prstGeom>
        <a:noFill/>
        <a:ln w="9525">
          <a:noFill/>
          <a:miter lim="800000"/>
          <a:headEnd/>
          <a:tailEnd/>
        </a:ln>
      </xdr:spPr>
    </xdr:pic>
    <xdr:clientData/>
  </xdr:twoCellAnchor>
  <xdr:twoCellAnchor editAs="oneCell">
    <xdr:from>
      <xdr:col>3</xdr:col>
      <xdr:colOff>0</xdr:colOff>
      <xdr:row>240</xdr:row>
      <xdr:rowOff>0</xdr:rowOff>
    </xdr:from>
    <xdr:to>
      <xdr:col>3</xdr:col>
      <xdr:colOff>95250</xdr:colOff>
      <xdr:row>240</xdr:row>
      <xdr:rowOff>104775</xdr:rowOff>
    </xdr:to>
    <xdr:pic>
      <xdr:nvPicPr>
        <xdr:cNvPr id="239" name="Grafik 25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8291750"/>
          <a:ext cx="95250" cy="104775"/>
        </a:xfrm>
        <a:prstGeom prst="rect">
          <a:avLst/>
        </a:prstGeom>
        <a:noFill/>
        <a:ln w="9525">
          <a:noFill/>
          <a:miter lim="800000"/>
          <a:headEnd/>
          <a:tailEnd/>
        </a:ln>
      </xdr:spPr>
    </xdr:pic>
    <xdr:clientData/>
  </xdr:twoCellAnchor>
  <xdr:twoCellAnchor editAs="oneCell">
    <xdr:from>
      <xdr:col>3</xdr:col>
      <xdr:colOff>0</xdr:colOff>
      <xdr:row>241</xdr:row>
      <xdr:rowOff>0</xdr:rowOff>
    </xdr:from>
    <xdr:to>
      <xdr:col>3</xdr:col>
      <xdr:colOff>95250</xdr:colOff>
      <xdr:row>241</xdr:row>
      <xdr:rowOff>104775</xdr:rowOff>
    </xdr:to>
    <xdr:pic>
      <xdr:nvPicPr>
        <xdr:cNvPr id="240" name="Grafik 25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8491775"/>
          <a:ext cx="95250" cy="104775"/>
        </a:xfrm>
        <a:prstGeom prst="rect">
          <a:avLst/>
        </a:prstGeom>
        <a:noFill/>
        <a:ln w="9525">
          <a:noFill/>
          <a:miter lim="800000"/>
          <a:headEnd/>
          <a:tailEnd/>
        </a:ln>
      </xdr:spPr>
    </xdr:pic>
    <xdr:clientData/>
  </xdr:twoCellAnchor>
  <xdr:twoCellAnchor editAs="oneCell">
    <xdr:from>
      <xdr:col>3</xdr:col>
      <xdr:colOff>0</xdr:colOff>
      <xdr:row>242</xdr:row>
      <xdr:rowOff>0</xdr:rowOff>
    </xdr:from>
    <xdr:to>
      <xdr:col>3</xdr:col>
      <xdr:colOff>95250</xdr:colOff>
      <xdr:row>242</xdr:row>
      <xdr:rowOff>104775</xdr:rowOff>
    </xdr:to>
    <xdr:pic>
      <xdr:nvPicPr>
        <xdr:cNvPr id="241" name="Grafik 25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8691800"/>
          <a:ext cx="95250" cy="104775"/>
        </a:xfrm>
        <a:prstGeom prst="rect">
          <a:avLst/>
        </a:prstGeom>
        <a:noFill/>
        <a:ln w="9525">
          <a:noFill/>
          <a:miter lim="800000"/>
          <a:headEnd/>
          <a:tailEnd/>
        </a:ln>
      </xdr:spPr>
    </xdr:pic>
    <xdr:clientData/>
  </xdr:twoCellAnchor>
  <xdr:twoCellAnchor editAs="oneCell">
    <xdr:from>
      <xdr:col>3</xdr:col>
      <xdr:colOff>0</xdr:colOff>
      <xdr:row>243</xdr:row>
      <xdr:rowOff>0</xdr:rowOff>
    </xdr:from>
    <xdr:to>
      <xdr:col>3</xdr:col>
      <xdr:colOff>95250</xdr:colOff>
      <xdr:row>243</xdr:row>
      <xdr:rowOff>104775</xdr:rowOff>
    </xdr:to>
    <xdr:pic>
      <xdr:nvPicPr>
        <xdr:cNvPr id="242" name="Grafik 25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8891825"/>
          <a:ext cx="95250" cy="104775"/>
        </a:xfrm>
        <a:prstGeom prst="rect">
          <a:avLst/>
        </a:prstGeom>
        <a:noFill/>
        <a:ln w="9525">
          <a:noFill/>
          <a:miter lim="800000"/>
          <a:headEnd/>
          <a:tailEnd/>
        </a:ln>
      </xdr:spPr>
    </xdr:pic>
    <xdr:clientData/>
  </xdr:twoCellAnchor>
  <xdr:twoCellAnchor editAs="oneCell">
    <xdr:from>
      <xdr:col>3</xdr:col>
      <xdr:colOff>0</xdr:colOff>
      <xdr:row>244</xdr:row>
      <xdr:rowOff>0</xdr:rowOff>
    </xdr:from>
    <xdr:to>
      <xdr:col>3</xdr:col>
      <xdr:colOff>95250</xdr:colOff>
      <xdr:row>244</xdr:row>
      <xdr:rowOff>104775</xdr:rowOff>
    </xdr:to>
    <xdr:pic>
      <xdr:nvPicPr>
        <xdr:cNvPr id="243" name="Grafik 25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9091850"/>
          <a:ext cx="95250" cy="104775"/>
        </a:xfrm>
        <a:prstGeom prst="rect">
          <a:avLst/>
        </a:prstGeom>
        <a:noFill/>
        <a:ln w="9525">
          <a:noFill/>
          <a:miter lim="800000"/>
          <a:headEnd/>
          <a:tailEnd/>
        </a:ln>
      </xdr:spPr>
    </xdr:pic>
    <xdr:clientData/>
  </xdr:twoCellAnchor>
  <xdr:twoCellAnchor editAs="oneCell">
    <xdr:from>
      <xdr:col>3</xdr:col>
      <xdr:colOff>0</xdr:colOff>
      <xdr:row>245</xdr:row>
      <xdr:rowOff>0</xdr:rowOff>
    </xdr:from>
    <xdr:to>
      <xdr:col>3</xdr:col>
      <xdr:colOff>95250</xdr:colOff>
      <xdr:row>245</xdr:row>
      <xdr:rowOff>104775</xdr:rowOff>
    </xdr:to>
    <xdr:pic>
      <xdr:nvPicPr>
        <xdr:cNvPr id="244" name="Grafik 25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9291875"/>
          <a:ext cx="95250" cy="104775"/>
        </a:xfrm>
        <a:prstGeom prst="rect">
          <a:avLst/>
        </a:prstGeom>
        <a:noFill/>
        <a:ln w="9525">
          <a:noFill/>
          <a:miter lim="800000"/>
          <a:headEnd/>
          <a:tailEnd/>
        </a:ln>
      </xdr:spPr>
    </xdr:pic>
    <xdr:clientData/>
  </xdr:twoCellAnchor>
  <xdr:twoCellAnchor editAs="oneCell">
    <xdr:from>
      <xdr:col>3</xdr:col>
      <xdr:colOff>0</xdr:colOff>
      <xdr:row>246</xdr:row>
      <xdr:rowOff>0</xdr:rowOff>
    </xdr:from>
    <xdr:to>
      <xdr:col>3</xdr:col>
      <xdr:colOff>95250</xdr:colOff>
      <xdr:row>246</xdr:row>
      <xdr:rowOff>104775</xdr:rowOff>
    </xdr:to>
    <xdr:pic>
      <xdr:nvPicPr>
        <xdr:cNvPr id="245" name="Grafik 25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9491900"/>
          <a:ext cx="95250" cy="104775"/>
        </a:xfrm>
        <a:prstGeom prst="rect">
          <a:avLst/>
        </a:prstGeom>
        <a:noFill/>
        <a:ln w="9525">
          <a:noFill/>
          <a:miter lim="800000"/>
          <a:headEnd/>
          <a:tailEnd/>
        </a:ln>
      </xdr:spPr>
    </xdr:pic>
    <xdr:clientData/>
  </xdr:twoCellAnchor>
  <xdr:twoCellAnchor editAs="oneCell">
    <xdr:from>
      <xdr:col>3</xdr:col>
      <xdr:colOff>0</xdr:colOff>
      <xdr:row>247</xdr:row>
      <xdr:rowOff>0</xdr:rowOff>
    </xdr:from>
    <xdr:to>
      <xdr:col>3</xdr:col>
      <xdr:colOff>95250</xdr:colOff>
      <xdr:row>247</xdr:row>
      <xdr:rowOff>104775</xdr:rowOff>
    </xdr:to>
    <xdr:pic>
      <xdr:nvPicPr>
        <xdr:cNvPr id="246" name="Grafik 26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9691925"/>
          <a:ext cx="95250" cy="104775"/>
        </a:xfrm>
        <a:prstGeom prst="rect">
          <a:avLst/>
        </a:prstGeom>
        <a:noFill/>
        <a:ln w="9525">
          <a:noFill/>
          <a:miter lim="800000"/>
          <a:headEnd/>
          <a:tailEnd/>
        </a:ln>
      </xdr:spPr>
    </xdr:pic>
    <xdr:clientData/>
  </xdr:twoCellAnchor>
  <xdr:twoCellAnchor editAs="oneCell">
    <xdr:from>
      <xdr:col>3</xdr:col>
      <xdr:colOff>0</xdr:colOff>
      <xdr:row>248</xdr:row>
      <xdr:rowOff>0</xdr:rowOff>
    </xdr:from>
    <xdr:to>
      <xdr:col>3</xdr:col>
      <xdr:colOff>95250</xdr:colOff>
      <xdr:row>248</xdr:row>
      <xdr:rowOff>104775</xdr:rowOff>
    </xdr:to>
    <xdr:pic>
      <xdr:nvPicPr>
        <xdr:cNvPr id="247" name="Grafik 26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49891950"/>
          <a:ext cx="95250" cy="104775"/>
        </a:xfrm>
        <a:prstGeom prst="rect">
          <a:avLst/>
        </a:prstGeom>
        <a:noFill/>
        <a:ln w="9525">
          <a:noFill/>
          <a:miter lim="800000"/>
          <a:headEnd/>
          <a:tailEnd/>
        </a:ln>
      </xdr:spPr>
    </xdr:pic>
    <xdr:clientData/>
  </xdr:twoCellAnchor>
  <xdr:twoCellAnchor editAs="oneCell">
    <xdr:from>
      <xdr:col>3</xdr:col>
      <xdr:colOff>0</xdr:colOff>
      <xdr:row>249</xdr:row>
      <xdr:rowOff>0</xdr:rowOff>
    </xdr:from>
    <xdr:to>
      <xdr:col>3</xdr:col>
      <xdr:colOff>95250</xdr:colOff>
      <xdr:row>249</xdr:row>
      <xdr:rowOff>104775</xdr:rowOff>
    </xdr:to>
    <xdr:pic>
      <xdr:nvPicPr>
        <xdr:cNvPr id="248" name="Grafik 26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0091975"/>
          <a:ext cx="95250" cy="104775"/>
        </a:xfrm>
        <a:prstGeom prst="rect">
          <a:avLst/>
        </a:prstGeom>
        <a:noFill/>
        <a:ln w="9525">
          <a:noFill/>
          <a:miter lim="800000"/>
          <a:headEnd/>
          <a:tailEnd/>
        </a:ln>
      </xdr:spPr>
    </xdr:pic>
    <xdr:clientData/>
  </xdr:twoCellAnchor>
  <xdr:twoCellAnchor editAs="oneCell">
    <xdr:from>
      <xdr:col>3</xdr:col>
      <xdr:colOff>0</xdr:colOff>
      <xdr:row>250</xdr:row>
      <xdr:rowOff>0</xdr:rowOff>
    </xdr:from>
    <xdr:to>
      <xdr:col>3</xdr:col>
      <xdr:colOff>95250</xdr:colOff>
      <xdr:row>250</xdr:row>
      <xdr:rowOff>104775</xdr:rowOff>
    </xdr:to>
    <xdr:pic>
      <xdr:nvPicPr>
        <xdr:cNvPr id="249" name="Grafik 26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0292000"/>
          <a:ext cx="95250" cy="104775"/>
        </a:xfrm>
        <a:prstGeom prst="rect">
          <a:avLst/>
        </a:prstGeom>
        <a:noFill/>
        <a:ln w="9525">
          <a:noFill/>
          <a:miter lim="800000"/>
          <a:headEnd/>
          <a:tailEnd/>
        </a:ln>
      </xdr:spPr>
    </xdr:pic>
    <xdr:clientData/>
  </xdr:twoCellAnchor>
  <xdr:twoCellAnchor editAs="oneCell">
    <xdr:from>
      <xdr:col>3</xdr:col>
      <xdr:colOff>0</xdr:colOff>
      <xdr:row>251</xdr:row>
      <xdr:rowOff>0</xdr:rowOff>
    </xdr:from>
    <xdr:to>
      <xdr:col>3</xdr:col>
      <xdr:colOff>95250</xdr:colOff>
      <xdr:row>251</xdr:row>
      <xdr:rowOff>104775</xdr:rowOff>
    </xdr:to>
    <xdr:pic>
      <xdr:nvPicPr>
        <xdr:cNvPr id="250" name="Grafik 26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0492025"/>
          <a:ext cx="95250" cy="104775"/>
        </a:xfrm>
        <a:prstGeom prst="rect">
          <a:avLst/>
        </a:prstGeom>
        <a:noFill/>
        <a:ln w="9525">
          <a:noFill/>
          <a:miter lim="800000"/>
          <a:headEnd/>
          <a:tailEnd/>
        </a:ln>
      </xdr:spPr>
    </xdr:pic>
    <xdr:clientData/>
  </xdr:twoCellAnchor>
  <xdr:twoCellAnchor editAs="oneCell">
    <xdr:from>
      <xdr:col>3</xdr:col>
      <xdr:colOff>0</xdr:colOff>
      <xdr:row>252</xdr:row>
      <xdr:rowOff>0</xdr:rowOff>
    </xdr:from>
    <xdr:to>
      <xdr:col>3</xdr:col>
      <xdr:colOff>95250</xdr:colOff>
      <xdr:row>252</xdr:row>
      <xdr:rowOff>104775</xdr:rowOff>
    </xdr:to>
    <xdr:pic>
      <xdr:nvPicPr>
        <xdr:cNvPr id="251" name="Grafik 26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0692050"/>
          <a:ext cx="95250" cy="104775"/>
        </a:xfrm>
        <a:prstGeom prst="rect">
          <a:avLst/>
        </a:prstGeom>
        <a:noFill/>
        <a:ln w="9525">
          <a:noFill/>
          <a:miter lim="800000"/>
          <a:headEnd/>
          <a:tailEnd/>
        </a:ln>
      </xdr:spPr>
    </xdr:pic>
    <xdr:clientData/>
  </xdr:twoCellAnchor>
  <xdr:twoCellAnchor editAs="oneCell">
    <xdr:from>
      <xdr:col>3</xdr:col>
      <xdr:colOff>0</xdr:colOff>
      <xdr:row>253</xdr:row>
      <xdr:rowOff>0</xdr:rowOff>
    </xdr:from>
    <xdr:to>
      <xdr:col>3</xdr:col>
      <xdr:colOff>95250</xdr:colOff>
      <xdr:row>253</xdr:row>
      <xdr:rowOff>104775</xdr:rowOff>
    </xdr:to>
    <xdr:pic>
      <xdr:nvPicPr>
        <xdr:cNvPr id="252" name="Grafik 26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0892075"/>
          <a:ext cx="95250" cy="104775"/>
        </a:xfrm>
        <a:prstGeom prst="rect">
          <a:avLst/>
        </a:prstGeom>
        <a:noFill/>
        <a:ln w="9525">
          <a:noFill/>
          <a:miter lim="800000"/>
          <a:headEnd/>
          <a:tailEnd/>
        </a:ln>
      </xdr:spPr>
    </xdr:pic>
    <xdr:clientData/>
  </xdr:twoCellAnchor>
  <xdr:twoCellAnchor editAs="oneCell">
    <xdr:from>
      <xdr:col>3</xdr:col>
      <xdr:colOff>0</xdr:colOff>
      <xdr:row>254</xdr:row>
      <xdr:rowOff>0</xdr:rowOff>
    </xdr:from>
    <xdr:to>
      <xdr:col>3</xdr:col>
      <xdr:colOff>95250</xdr:colOff>
      <xdr:row>254</xdr:row>
      <xdr:rowOff>104775</xdr:rowOff>
    </xdr:to>
    <xdr:pic>
      <xdr:nvPicPr>
        <xdr:cNvPr id="253" name="Grafik 26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1092100"/>
          <a:ext cx="95250" cy="104775"/>
        </a:xfrm>
        <a:prstGeom prst="rect">
          <a:avLst/>
        </a:prstGeom>
        <a:noFill/>
        <a:ln w="9525">
          <a:noFill/>
          <a:miter lim="800000"/>
          <a:headEnd/>
          <a:tailEnd/>
        </a:ln>
      </xdr:spPr>
    </xdr:pic>
    <xdr:clientData/>
  </xdr:twoCellAnchor>
  <xdr:twoCellAnchor editAs="oneCell">
    <xdr:from>
      <xdr:col>3</xdr:col>
      <xdr:colOff>0</xdr:colOff>
      <xdr:row>255</xdr:row>
      <xdr:rowOff>0</xdr:rowOff>
    </xdr:from>
    <xdr:to>
      <xdr:col>3</xdr:col>
      <xdr:colOff>95250</xdr:colOff>
      <xdr:row>255</xdr:row>
      <xdr:rowOff>104775</xdr:rowOff>
    </xdr:to>
    <xdr:pic>
      <xdr:nvPicPr>
        <xdr:cNvPr id="254" name="Grafik 26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1292125"/>
          <a:ext cx="95250" cy="104775"/>
        </a:xfrm>
        <a:prstGeom prst="rect">
          <a:avLst/>
        </a:prstGeom>
        <a:noFill/>
        <a:ln w="9525">
          <a:noFill/>
          <a:miter lim="800000"/>
          <a:headEnd/>
          <a:tailEnd/>
        </a:ln>
      </xdr:spPr>
    </xdr:pic>
    <xdr:clientData/>
  </xdr:twoCellAnchor>
  <xdr:twoCellAnchor editAs="oneCell">
    <xdr:from>
      <xdr:col>3</xdr:col>
      <xdr:colOff>0</xdr:colOff>
      <xdr:row>256</xdr:row>
      <xdr:rowOff>0</xdr:rowOff>
    </xdr:from>
    <xdr:to>
      <xdr:col>3</xdr:col>
      <xdr:colOff>95250</xdr:colOff>
      <xdr:row>256</xdr:row>
      <xdr:rowOff>104775</xdr:rowOff>
    </xdr:to>
    <xdr:pic>
      <xdr:nvPicPr>
        <xdr:cNvPr id="255" name="Grafik 26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1492150"/>
          <a:ext cx="95250" cy="104775"/>
        </a:xfrm>
        <a:prstGeom prst="rect">
          <a:avLst/>
        </a:prstGeom>
        <a:noFill/>
        <a:ln w="9525">
          <a:noFill/>
          <a:miter lim="800000"/>
          <a:headEnd/>
          <a:tailEnd/>
        </a:ln>
      </xdr:spPr>
    </xdr:pic>
    <xdr:clientData/>
  </xdr:twoCellAnchor>
  <xdr:twoCellAnchor editAs="oneCell">
    <xdr:from>
      <xdr:col>3</xdr:col>
      <xdr:colOff>0</xdr:colOff>
      <xdr:row>257</xdr:row>
      <xdr:rowOff>0</xdr:rowOff>
    </xdr:from>
    <xdr:to>
      <xdr:col>3</xdr:col>
      <xdr:colOff>95250</xdr:colOff>
      <xdr:row>257</xdr:row>
      <xdr:rowOff>104775</xdr:rowOff>
    </xdr:to>
    <xdr:pic>
      <xdr:nvPicPr>
        <xdr:cNvPr id="256" name="Grafik 27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1692175"/>
          <a:ext cx="95250" cy="104775"/>
        </a:xfrm>
        <a:prstGeom prst="rect">
          <a:avLst/>
        </a:prstGeom>
        <a:noFill/>
        <a:ln w="9525">
          <a:noFill/>
          <a:miter lim="800000"/>
          <a:headEnd/>
          <a:tailEnd/>
        </a:ln>
      </xdr:spPr>
    </xdr:pic>
    <xdr:clientData/>
  </xdr:twoCellAnchor>
  <xdr:twoCellAnchor editAs="oneCell">
    <xdr:from>
      <xdr:col>3</xdr:col>
      <xdr:colOff>0</xdr:colOff>
      <xdr:row>258</xdr:row>
      <xdr:rowOff>0</xdr:rowOff>
    </xdr:from>
    <xdr:to>
      <xdr:col>3</xdr:col>
      <xdr:colOff>95250</xdr:colOff>
      <xdr:row>258</xdr:row>
      <xdr:rowOff>104775</xdr:rowOff>
    </xdr:to>
    <xdr:pic>
      <xdr:nvPicPr>
        <xdr:cNvPr id="257" name="Grafik 27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1892200"/>
          <a:ext cx="95250" cy="104775"/>
        </a:xfrm>
        <a:prstGeom prst="rect">
          <a:avLst/>
        </a:prstGeom>
        <a:noFill/>
        <a:ln w="9525">
          <a:noFill/>
          <a:miter lim="800000"/>
          <a:headEnd/>
          <a:tailEnd/>
        </a:ln>
      </xdr:spPr>
    </xdr:pic>
    <xdr:clientData/>
  </xdr:twoCellAnchor>
  <xdr:twoCellAnchor editAs="oneCell">
    <xdr:from>
      <xdr:col>3</xdr:col>
      <xdr:colOff>0</xdr:colOff>
      <xdr:row>259</xdr:row>
      <xdr:rowOff>0</xdr:rowOff>
    </xdr:from>
    <xdr:to>
      <xdr:col>3</xdr:col>
      <xdr:colOff>95250</xdr:colOff>
      <xdr:row>259</xdr:row>
      <xdr:rowOff>104775</xdr:rowOff>
    </xdr:to>
    <xdr:pic>
      <xdr:nvPicPr>
        <xdr:cNvPr id="258" name="Grafik 27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2092225"/>
          <a:ext cx="95250" cy="104775"/>
        </a:xfrm>
        <a:prstGeom prst="rect">
          <a:avLst/>
        </a:prstGeom>
        <a:noFill/>
        <a:ln w="9525">
          <a:noFill/>
          <a:miter lim="800000"/>
          <a:headEnd/>
          <a:tailEnd/>
        </a:ln>
      </xdr:spPr>
    </xdr:pic>
    <xdr:clientData/>
  </xdr:twoCellAnchor>
  <xdr:twoCellAnchor editAs="oneCell">
    <xdr:from>
      <xdr:col>3</xdr:col>
      <xdr:colOff>0</xdr:colOff>
      <xdr:row>260</xdr:row>
      <xdr:rowOff>0</xdr:rowOff>
    </xdr:from>
    <xdr:to>
      <xdr:col>3</xdr:col>
      <xdr:colOff>95250</xdr:colOff>
      <xdr:row>260</xdr:row>
      <xdr:rowOff>104775</xdr:rowOff>
    </xdr:to>
    <xdr:pic>
      <xdr:nvPicPr>
        <xdr:cNvPr id="259" name="Grafik 27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2292250"/>
          <a:ext cx="95250" cy="104775"/>
        </a:xfrm>
        <a:prstGeom prst="rect">
          <a:avLst/>
        </a:prstGeom>
        <a:noFill/>
        <a:ln w="9525">
          <a:noFill/>
          <a:miter lim="800000"/>
          <a:headEnd/>
          <a:tailEnd/>
        </a:ln>
      </xdr:spPr>
    </xdr:pic>
    <xdr:clientData/>
  </xdr:twoCellAnchor>
  <xdr:twoCellAnchor editAs="oneCell">
    <xdr:from>
      <xdr:col>3</xdr:col>
      <xdr:colOff>0</xdr:colOff>
      <xdr:row>261</xdr:row>
      <xdr:rowOff>0</xdr:rowOff>
    </xdr:from>
    <xdr:to>
      <xdr:col>3</xdr:col>
      <xdr:colOff>95250</xdr:colOff>
      <xdr:row>261</xdr:row>
      <xdr:rowOff>104775</xdr:rowOff>
    </xdr:to>
    <xdr:pic>
      <xdr:nvPicPr>
        <xdr:cNvPr id="260" name="Grafik 27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2492275"/>
          <a:ext cx="95250" cy="104775"/>
        </a:xfrm>
        <a:prstGeom prst="rect">
          <a:avLst/>
        </a:prstGeom>
        <a:noFill/>
        <a:ln w="9525">
          <a:noFill/>
          <a:miter lim="800000"/>
          <a:headEnd/>
          <a:tailEnd/>
        </a:ln>
      </xdr:spPr>
    </xdr:pic>
    <xdr:clientData/>
  </xdr:twoCellAnchor>
  <xdr:twoCellAnchor editAs="oneCell">
    <xdr:from>
      <xdr:col>3</xdr:col>
      <xdr:colOff>0</xdr:colOff>
      <xdr:row>262</xdr:row>
      <xdr:rowOff>0</xdr:rowOff>
    </xdr:from>
    <xdr:to>
      <xdr:col>3</xdr:col>
      <xdr:colOff>95250</xdr:colOff>
      <xdr:row>262</xdr:row>
      <xdr:rowOff>104775</xdr:rowOff>
    </xdr:to>
    <xdr:pic>
      <xdr:nvPicPr>
        <xdr:cNvPr id="261" name="Grafik 27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2692300"/>
          <a:ext cx="95250" cy="104775"/>
        </a:xfrm>
        <a:prstGeom prst="rect">
          <a:avLst/>
        </a:prstGeom>
        <a:noFill/>
        <a:ln w="9525">
          <a:noFill/>
          <a:miter lim="800000"/>
          <a:headEnd/>
          <a:tailEnd/>
        </a:ln>
      </xdr:spPr>
    </xdr:pic>
    <xdr:clientData/>
  </xdr:twoCellAnchor>
  <xdr:twoCellAnchor editAs="oneCell">
    <xdr:from>
      <xdr:col>3</xdr:col>
      <xdr:colOff>0</xdr:colOff>
      <xdr:row>263</xdr:row>
      <xdr:rowOff>0</xdr:rowOff>
    </xdr:from>
    <xdr:to>
      <xdr:col>3</xdr:col>
      <xdr:colOff>95250</xdr:colOff>
      <xdr:row>263</xdr:row>
      <xdr:rowOff>104775</xdr:rowOff>
    </xdr:to>
    <xdr:pic>
      <xdr:nvPicPr>
        <xdr:cNvPr id="262" name="Grafik 27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2892325"/>
          <a:ext cx="95250" cy="104775"/>
        </a:xfrm>
        <a:prstGeom prst="rect">
          <a:avLst/>
        </a:prstGeom>
        <a:noFill/>
        <a:ln w="9525">
          <a:noFill/>
          <a:miter lim="800000"/>
          <a:headEnd/>
          <a:tailEnd/>
        </a:ln>
      </xdr:spPr>
    </xdr:pic>
    <xdr:clientData/>
  </xdr:twoCellAnchor>
  <xdr:twoCellAnchor editAs="oneCell">
    <xdr:from>
      <xdr:col>3</xdr:col>
      <xdr:colOff>0</xdr:colOff>
      <xdr:row>264</xdr:row>
      <xdr:rowOff>0</xdr:rowOff>
    </xdr:from>
    <xdr:to>
      <xdr:col>3</xdr:col>
      <xdr:colOff>95250</xdr:colOff>
      <xdr:row>264</xdr:row>
      <xdr:rowOff>104775</xdr:rowOff>
    </xdr:to>
    <xdr:pic>
      <xdr:nvPicPr>
        <xdr:cNvPr id="263" name="Grafik 27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3092350"/>
          <a:ext cx="95250" cy="104775"/>
        </a:xfrm>
        <a:prstGeom prst="rect">
          <a:avLst/>
        </a:prstGeom>
        <a:noFill/>
        <a:ln w="9525">
          <a:noFill/>
          <a:miter lim="800000"/>
          <a:headEnd/>
          <a:tailEnd/>
        </a:ln>
      </xdr:spPr>
    </xdr:pic>
    <xdr:clientData/>
  </xdr:twoCellAnchor>
  <xdr:twoCellAnchor editAs="oneCell">
    <xdr:from>
      <xdr:col>3</xdr:col>
      <xdr:colOff>0</xdr:colOff>
      <xdr:row>265</xdr:row>
      <xdr:rowOff>0</xdr:rowOff>
    </xdr:from>
    <xdr:to>
      <xdr:col>3</xdr:col>
      <xdr:colOff>95250</xdr:colOff>
      <xdr:row>265</xdr:row>
      <xdr:rowOff>104775</xdr:rowOff>
    </xdr:to>
    <xdr:pic>
      <xdr:nvPicPr>
        <xdr:cNvPr id="264" name="Grafik 27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3292375"/>
          <a:ext cx="95250" cy="104775"/>
        </a:xfrm>
        <a:prstGeom prst="rect">
          <a:avLst/>
        </a:prstGeom>
        <a:noFill/>
        <a:ln w="9525">
          <a:noFill/>
          <a:miter lim="800000"/>
          <a:headEnd/>
          <a:tailEnd/>
        </a:ln>
      </xdr:spPr>
    </xdr:pic>
    <xdr:clientData/>
  </xdr:twoCellAnchor>
  <xdr:twoCellAnchor editAs="oneCell">
    <xdr:from>
      <xdr:col>3</xdr:col>
      <xdr:colOff>0</xdr:colOff>
      <xdr:row>266</xdr:row>
      <xdr:rowOff>0</xdr:rowOff>
    </xdr:from>
    <xdr:to>
      <xdr:col>3</xdr:col>
      <xdr:colOff>95250</xdr:colOff>
      <xdr:row>266</xdr:row>
      <xdr:rowOff>104775</xdr:rowOff>
    </xdr:to>
    <xdr:pic>
      <xdr:nvPicPr>
        <xdr:cNvPr id="265" name="Grafik 27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3492400"/>
          <a:ext cx="95250" cy="104775"/>
        </a:xfrm>
        <a:prstGeom prst="rect">
          <a:avLst/>
        </a:prstGeom>
        <a:noFill/>
        <a:ln w="9525">
          <a:noFill/>
          <a:miter lim="800000"/>
          <a:headEnd/>
          <a:tailEnd/>
        </a:ln>
      </xdr:spPr>
    </xdr:pic>
    <xdr:clientData/>
  </xdr:twoCellAnchor>
  <xdr:twoCellAnchor editAs="oneCell">
    <xdr:from>
      <xdr:col>3</xdr:col>
      <xdr:colOff>0</xdr:colOff>
      <xdr:row>267</xdr:row>
      <xdr:rowOff>0</xdr:rowOff>
    </xdr:from>
    <xdr:to>
      <xdr:col>3</xdr:col>
      <xdr:colOff>95250</xdr:colOff>
      <xdr:row>267</xdr:row>
      <xdr:rowOff>104775</xdr:rowOff>
    </xdr:to>
    <xdr:pic>
      <xdr:nvPicPr>
        <xdr:cNvPr id="266" name="Grafik 28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3692425"/>
          <a:ext cx="95250" cy="104775"/>
        </a:xfrm>
        <a:prstGeom prst="rect">
          <a:avLst/>
        </a:prstGeom>
        <a:noFill/>
        <a:ln w="9525">
          <a:noFill/>
          <a:miter lim="800000"/>
          <a:headEnd/>
          <a:tailEnd/>
        </a:ln>
      </xdr:spPr>
    </xdr:pic>
    <xdr:clientData/>
  </xdr:twoCellAnchor>
  <xdr:twoCellAnchor editAs="oneCell">
    <xdr:from>
      <xdr:col>3</xdr:col>
      <xdr:colOff>0</xdr:colOff>
      <xdr:row>268</xdr:row>
      <xdr:rowOff>0</xdr:rowOff>
    </xdr:from>
    <xdr:to>
      <xdr:col>3</xdr:col>
      <xdr:colOff>95250</xdr:colOff>
      <xdr:row>268</xdr:row>
      <xdr:rowOff>104775</xdr:rowOff>
    </xdr:to>
    <xdr:pic>
      <xdr:nvPicPr>
        <xdr:cNvPr id="267" name="Grafik 28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3892450"/>
          <a:ext cx="95250" cy="104775"/>
        </a:xfrm>
        <a:prstGeom prst="rect">
          <a:avLst/>
        </a:prstGeom>
        <a:noFill/>
        <a:ln w="9525">
          <a:noFill/>
          <a:miter lim="800000"/>
          <a:headEnd/>
          <a:tailEnd/>
        </a:ln>
      </xdr:spPr>
    </xdr:pic>
    <xdr:clientData/>
  </xdr:twoCellAnchor>
  <xdr:twoCellAnchor editAs="oneCell">
    <xdr:from>
      <xdr:col>3</xdr:col>
      <xdr:colOff>0</xdr:colOff>
      <xdr:row>269</xdr:row>
      <xdr:rowOff>0</xdr:rowOff>
    </xdr:from>
    <xdr:to>
      <xdr:col>3</xdr:col>
      <xdr:colOff>95250</xdr:colOff>
      <xdr:row>269</xdr:row>
      <xdr:rowOff>104775</xdr:rowOff>
    </xdr:to>
    <xdr:pic>
      <xdr:nvPicPr>
        <xdr:cNvPr id="268" name="Grafik 28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4092475"/>
          <a:ext cx="95250" cy="104775"/>
        </a:xfrm>
        <a:prstGeom prst="rect">
          <a:avLst/>
        </a:prstGeom>
        <a:noFill/>
        <a:ln w="9525">
          <a:noFill/>
          <a:miter lim="800000"/>
          <a:headEnd/>
          <a:tailEnd/>
        </a:ln>
      </xdr:spPr>
    </xdr:pic>
    <xdr:clientData/>
  </xdr:twoCellAnchor>
  <xdr:twoCellAnchor editAs="oneCell">
    <xdr:from>
      <xdr:col>3</xdr:col>
      <xdr:colOff>0</xdr:colOff>
      <xdr:row>270</xdr:row>
      <xdr:rowOff>0</xdr:rowOff>
    </xdr:from>
    <xdr:to>
      <xdr:col>3</xdr:col>
      <xdr:colOff>95250</xdr:colOff>
      <xdr:row>270</xdr:row>
      <xdr:rowOff>104775</xdr:rowOff>
    </xdr:to>
    <xdr:pic>
      <xdr:nvPicPr>
        <xdr:cNvPr id="269" name="Grafik 28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4292500"/>
          <a:ext cx="95250" cy="104775"/>
        </a:xfrm>
        <a:prstGeom prst="rect">
          <a:avLst/>
        </a:prstGeom>
        <a:noFill/>
        <a:ln w="9525">
          <a:noFill/>
          <a:miter lim="800000"/>
          <a:headEnd/>
          <a:tailEnd/>
        </a:ln>
      </xdr:spPr>
    </xdr:pic>
    <xdr:clientData/>
  </xdr:twoCellAnchor>
  <xdr:twoCellAnchor editAs="oneCell">
    <xdr:from>
      <xdr:col>3</xdr:col>
      <xdr:colOff>0</xdr:colOff>
      <xdr:row>271</xdr:row>
      <xdr:rowOff>0</xdr:rowOff>
    </xdr:from>
    <xdr:to>
      <xdr:col>3</xdr:col>
      <xdr:colOff>95250</xdr:colOff>
      <xdr:row>271</xdr:row>
      <xdr:rowOff>104775</xdr:rowOff>
    </xdr:to>
    <xdr:pic>
      <xdr:nvPicPr>
        <xdr:cNvPr id="270" name="Grafik 28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4492525"/>
          <a:ext cx="95250" cy="104775"/>
        </a:xfrm>
        <a:prstGeom prst="rect">
          <a:avLst/>
        </a:prstGeom>
        <a:noFill/>
        <a:ln w="9525">
          <a:noFill/>
          <a:miter lim="800000"/>
          <a:headEnd/>
          <a:tailEnd/>
        </a:ln>
      </xdr:spPr>
    </xdr:pic>
    <xdr:clientData/>
  </xdr:twoCellAnchor>
  <xdr:twoCellAnchor editAs="oneCell">
    <xdr:from>
      <xdr:col>3</xdr:col>
      <xdr:colOff>0</xdr:colOff>
      <xdr:row>272</xdr:row>
      <xdr:rowOff>0</xdr:rowOff>
    </xdr:from>
    <xdr:to>
      <xdr:col>3</xdr:col>
      <xdr:colOff>95250</xdr:colOff>
      <xdr:row>272</xdr:row>
      <xdr:rowOff>104775</xdr:rowOff>
    </xdr:to>
    <xdr:pic>
      <xdr:nvPicPr>
        <xdr:cNvPr id="271" name="Grafik 28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4692550"/>
          <a:ext cx="95250" cy="104775"/>
        </a:xfrm>
        <a:prstGeom prst="rect">
          <a:avLst/>
        </a:prstGeom>
        <a:noFill/>
        <a:ln w="9525">
          <a:noFill/>
          <a:miter lim="800000"/>
          <a:headEnd/>
          <a:tailEnd/>
        </a:ln>
      </xdr:spPr>
    </xdr:pic>
    <xdr:clientData/>
  </xdr:twoCellAnchor>
  <xdr:twoCellAnchor editAs="oneCell">
    <xdr:from>
      <xdr:col>3</xdr:col>
      <xdr:colOff>0</xdr:colOff>
      <xdr:row>273</xdr:row>
      <xdr:rowOff>0</xdr:rowOff>
    </xdr:from>
    <xdr:to>
      <xdr:col>3</xdr:col>
      <xdr:colOff>95250</xdr:colOff>
      <xdr:row>273</xdr:row>
      <xdr:rowOff>104775</xdr:rowOff>
    </xdr:to>
    <xdr:pic>
      <xdr:nvPicPr>
        <xdr:cNvPr id="272" name="Grafik 28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4892575"/>
          <a:ext cx="95250" cy="104775"/>
        </a:xfrm>
        <a:prstGeom prst="rect">
          <a:avLst/>
        </a:prstGeom>
        <a:noFill/>
        <a:ln w="9525">
          <a:noFill/>
          <a:miter lim="800000"/>
          <a:headEnd/>
          <a:tailEnd/>
        </a:ln>
      </xdr:spPr>
    </xdr:pic>
    <xdr:clientData/>
  </xdr:twoCellAnchor>
  <xdr:twoCellAnchor editAs="oneCell">
    <xdr:from>
      <xdr:col>3</xdr:col>
      <xdr:colOff>0</xdr:colOff>
      <xdr:row>274</xdr:row>
      <xdr:rowOff>0</xdr:rowOff>
    </xdr:from>
    <xdr:to>
      <xdr:col>3</xdr:col>
      <xdr:colOff>95250</xdr:colOff>
      <xdr:row>274</xdr:row>
      <xdr:rowOff>104775</xdr:rowOff>
    </xdr:to>
    <xdr:pic>
      <xdr:nvPicPr>
        <xdr:cNvPr id="273" name="Grafik 28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5092600"/>
          <a:ext cx="95250" cy="104775"/>
        </a:xfrm>
        <a:prstGeom prst="rect">
          <a:avLst/>
        </a:prstGeom>
        <a:noFill/>
        <a:ln w="9525">
          <a:noFill/>
          <a:miter lim="800000"/>
          <a:headEnd/>
          <a:tailEnd/>
        </a:ln>
      </xdr:spPr>
    </xdr:pic>
    <xdr:clientData/>
  </xdr:twoCellAnchor>
  <xdr:twoCellAnchor editAs="oneCell">
    <xdr:from>
      <xdr:col>3</xdr:col>
      <xdr:colOff>0</xdr:colOff>
      <xdr:row>275</xdr:row>
      <xdr:rowOff>0</xdr:rowOff>
    </xdr:from>
    <xdr:to>
      <xdr:col>3</xdr:col>
      <xdr:colOff>95250</xdr:colOff>
      <xdr:row>275</xdr:row>
      <xdr:rowOff>104775</xdr:rowOff>
    </xdr:to>
    <xdr:pic>
      <xdr:nvPicPr>
        <xdr:cNvPr id="274" name="Grafik 28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5292625"/>
          <a:ext cx="95250" cy="104775"/>
        </a:xfrm>
        <a:prstGeom prst="rect">
          <a:avLst/>
        </a:prstGeom>
        <a:noFill/>
        <a:ln w="9525">
          <a:noFill/>
          <a:miter lim="800000"/>
          <a:headEnd/>
          <a:tailEnd/>
        </a:ln>
      </xdr:spPr>
    </xdr:pic>
    <xdr:clientData/>
  </xdr:twoCellAnchor>
  <xdr:twoCellAnchor editAs="oneCell">
    <xdr:from>
      <xdr:col>3</xdr:col>
      <xdr:colOff>0</xdr:colOff>
      <xdr:row>276</xdr:row>
      <xdr:rowOff>0</xdr:rowOff>
    </xdr:from>
    <xdr:to>
      <xdr:col>3</xdr:col>
      <xdr:colOff>95250</xdr:colOff>
      <xdr:row>276</xdr:row>
      <xdr:rowOff>104775</xdr:rowOff>
    </xdr:to>
    <xdr:pic>
      <xdr:nvPicPr>
        <xdr:cNvPr id="275" name="Grafik 28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5492650"/>
          <a:ext cx="95250" cy="104775"/>
        </a:xfrm>
        <a:prstGeom prst="rect">
          <a:avLst/>
        </a:prstGeom>
        <a:noFill/>
        <a:ln w="9525">
          <a:noFill/>
          <a:miter lim="800000"/>
          <a:headEnd/>
          <a:tailEnd/>
        </a:ln>
      </xdr:spPr>
    </xdr:pic>
    <xdr:clientData/>
  </xdr:twoCellAnchor>
  <xdr:twoCellAnchor editAs="oneCell">
    <xdr:from>
      <xdr:col>3</xdr:col>
      <xdr:colOff>0</xdr:colOff>
      <xdr:row>277</xdr:row>
      <xdr:rowOff>0</xdr:rowOff>
    </xdr:from>
    <xdr:to>
      <xdr:col>3</xdr:col>
      <xdr:colOff>95250</xdr:colOff>
      <xdr:row>277</xdr:row>
      <xdr:rowOff>104775</xdr:rowOff>
    </xdr:to>
    <xdr:pic>
      <xdr:nvPicPr>
        <xdr:cNvPr id="276" name="Grafik 29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5692675"/>
          <a:ext cx="95250" cy="104775"/>
        </a:xfrm>
        <a:prstGeom prst="rect">
          <a:avLst/>
        </a:prstGeom>
        <a:noFill/>
        <a:ln w="9525">
          <a:noFill/>
          <a:miter lim="800000"/>
          <a:headEnd/>
          <a:tailEnd/>
        </a:ln>
      </xdr:spPr>
    </xdr:pic>
    <xdr:clientData/>
  </xdr:twoCellAnchor>
  <xdr:twoCellAnchor editAs="oneCell">
    <xdr:from>
      <xdr:col>3</xdr:col>
      <xdr:colOff>0</xdr:colOff>
      <xdr:row>278</xdr:row>
      <xdr:rowOff>0</xdr:rowOff>
    </xdr:from>
    <xdr:to>
      <xdr:col>3</xdr:col>
      <xdr:colOff>95250</xdr:colOff>
      <xdr:row>278</xdr:row>
      <xdr:rowOff>104775</xdr:rowOff>
    </xdr:to>
    <xdr:pic>
      <xdr:nvPicPr>
        <xdr:cNvPr id="277" name="Grafik 29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5892700"/>
          <a:ext cx="95250" cy="104775"/>
        </a:xfrm>
        <a:prstGeom prst="rect">
          <a:avLst/>
        </a:prstGeom>
        <a:noFill/>
        <a:ln w="9525">
          <a:noFill/>
          <a:miter lim="800000"/>
          <a:headEnd/>
          <a:tailEnd/>
        </a:ln>
      </xdr:spPr>
    </xdr:pic>
    <xdr:clientData/>
  </xdr:twoCellAnchor>
  <xdr:twoCellAnchor editAs="oneCell">
    <xdr:from>
      <xdr:col>3</xdr:col>
      <xdr:colOff>0</xdr:colOff>
      <xdr:row>279</xdr:row>
      <xdr:rowOff>0</xdr:rowOff>
    </xdr:from>
    <xdr:to>
      <xdr:col>3</xdr:col>
      <xdr:colOff>95250</xdr:colOff>
      <xdr:row>279</xdr:row>
      <xdr:rowOff>104775</xdr:rowOff>
    </xdr:to>
    <xdr:pic>
      <xdr:nvPicPr>
        <xdr:cNvPr id="278" name="Grafik 29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6092725"/>
          <a:ext cx="95250" cy="104775"/>
        </a:xfrm>
        <a:prstGeom prst="rect">
          <a:avLst/>
        </a:prstGeom>
        <a:noFill/>
        <a:ln w="9525">
          <a:noFill/>
          <a:miter lim="800000"/>
          <a:headEnd/>
          <a:tailEnd/>
        </a:ln>
      </xdr:spPr>
    </xdr:pic>
    <xdr:clientData/>
  </xdr:twoCellAnchor>
  <xdr:twoCellAnchor editAs="oneCell">
    <xdr:from>
      <xdr:col>3</xdr:col>
      <xdr:colOff>0</xdr:colOff>
      <xdr:row>280</xdr:row>
      <xdr:rowOff>0</xdr:rowOff>
    </xdr:from>
    <xdr:to>
      <xdr:col>3</xdr:col>
      <xdr:colOff>95250</xdr:colOff>
      <xdr:row>280</xdr:row>
      <xdr:rowOff>104775</xdr:rowOff>
    </xdr:to>
    <xdr:pic>
      <xdr:nvPicPr>
        <xdr:cNvPr id="279" name="Grafik 29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6292750"/>
          <a:ext cx="95250" cy="104775"/>
        </a:xfrm>
        <a:prstGeom prst="rect">
          <a:avLst/>
        </a:prstGeom>
        <a:noFill/>
        <a:ln w="9525">
          <a:noFill/>
          <a:miter lim="800000"/>
          <a:headEnd/>
          <a:tailEnd/>
        </a:ln>
      </xdr:spPr>
    </xdr:pic>
    <xdr:clientData/>
  </xdr:twoCellAnchor>
  <xdr:twoCellAnchor editAs="oneCell">
    <xdr:from>
      <xdr:col>3</xdr:col>
      <xdr:colOff>0</xdr:colOff>
      <xdr:row>281</xdr:row>
      <xdr:rowOff>0</xdr:rowOff>
    </xdr:from>
    <xdr:to>
      <xdr:col>3</xdr:col>
      <xdr:colOff>95250</xdr:colOff>
      <xdr:row>281</xdr:row>
      <xdr:rowOff>104775</xdr:rowOff>
    </xdr:to>
    <xdr:pic>
      <xdr:nvPicPr>
        <xdr:cNvPr id="280" name="Grafik 29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6492775"/>
          <a:ext cx="95250" cy="104775"/>
        </a:xfrm>
        <a:prstGeom prst="rect">
          <a:avLst/>
        </a:prstGeom>
        <a:noFill/>
        <a:ln w="9525">
          <a:noFill/>
          <a:miter lim="800000"/>
          <a:headEnd/>
          <a:tailEnd/>
        </a:ln>
      </xdr:spPr>
    </xdr:pic>
    <xdr:clientData/>
  </xdr:twoCellAnchor>
  <xdr:twoCellAnchor editAs="oneCell">
    <xdr:from>
      <xdr:col>3</xdr:col>
      <xdr:colOff>0</xdr:colOff>
      <xdr:row>282</xdr:row>
      <xdr:rowOff>0</xdr:rowOff>
    </xdr:from>
    <xdr:to>
      <xdr:col>3</xdr:col>
      <xdr:colOff>95250</xdr:colOff>
      <xdr:row>282</xdr:row>
      <xdr:rowOff>104775</xdr:rowOff>
    </xdr:to>
    <xdr:pic>
      <xdr:nvPicPr>
        <xdr:cNvPr id="281" name="Grafik 29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6692800"/>
          <a:ext cx="95250" cy="104775"/>
        </a:xfrm>
        <a:prstGeom prst="rect">
          <a:avLst/>
        </a:prstGeom>
        <a:noFill/>
        <a:ln w="9525">
          <a:noFill/>
          <a:miter lim="800000"/>
          <a:headEnd/>
          <a:tailEnd/>
        </a:ln>
      </xdr:spPr>
    </xdr:pic>
    <xdr:clientData/>
  </xdr:twoCellAnchor>
  <xdr:twoCellAnchor editAs="oneCell">
    <xdr:from>
      <xdr:col>3</xdr:col>
      <xdr:colOff>0</xdr:colOff>
      <xdr:row>283</xdr:row>
      <xdr:rowOff>0</xdr:rowOff>
    </xdr:from>
    <xdr:to>
      <xdr:col>3</xdr:col>
      <xdr:colOff>95250</xdr:colOff>
      <xdr:row>283</xdr:row>
      <xdr:rowOff>104775</xdr:rowOff>
    </xdr:to>
    <xdr:pic>
      <xdr:nvPicPr>
        <xdr:cNvPr id="282" name="Grafik 29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6892825"/>
          <a:ext cx="95250" cy="104775"/>
        </a:xfrm>
        <a:prstGeom prst="rect">
          <a:avLst/>
        </a:prstGeom>
        <a:noFill/>
        <a:ln w="9525">
          <a:noFill/>
          <a:miter lim="800000"/>
          <a:headEnd/>
          <a:tailEnd/>
        </a:ln>
      </xdr:spPr>
    </xdr:pic>
    <xdr:clientData/>
  </xdr:twoCellAnchor>
  <xdr:twoCellAnchor editAs="oneCell">
    <xdr:from>
      <xdr:col>3</xdr:col>
      <xdr:colOff>0</xdr:colOff>
      <xdr:row>284</xdr:row>
      <xdr:rowOff>0</xdr:rowOff>
    </xdr:from>
    <xdr:to>
      <xdr:col>3</xdr:col>
      <xdr:colOff>95250</xdr:colOff>
      <xdr:row>284</xdr:row>
      <xdr:rowOff>104775</xdr:rowOff>
    </xdr:to>
    <xdr:pic>
      <xdr:nvPicPr>
        <xdr:cNvPr id="283" name="Grafik 29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7092850"/>
          <a:ext cx="95250" cy="104775"/>
        </a:xfrm>
        <a:prstGeom prst="rect">
          <a:avLst/>
        </a:prstGeom>
        <a:noFill/>
        <a:ln w="9525">
          <a:noFill/>
          <a:miter lim="800000"/>
          <a:headEnd/>
          <a:tailEnd/>
        </a:ln>
      </xdr:spPr>
    </xdr:pic>
    <xdr:clientData/>
  </xdr:twoCellAnchor>
  <xdr:twoCellAnchor editAs="oneCell">
    <xdr:from>
      <xdr:col>3</xdr:col>
      <xdr:colOff>0</xdr:colOff>
      <xdr:row>285</xdr:row>
      <xdr:rowOff>0</xdr:rowOff>
    </xdr:from>
    <xdr:to>
      <xdr:col>3</xdr:col>
      <xdr:colOff>95250</xdr:colOff>
      <xdr:row>285</xdr:row>
      <xdr:rowOff>104775</xdr:rowOff>
    </xdr:to>
    <xdr:pic>
      <xdr:nvPicPr>
        <xdr:cNvPr id="284" name="Grafik 29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7292875"/>
          <a:ext cx="95250" cy="104775"/>
        </a:xfrm>
        <a:prstGeom prst="rect">
          <a:avLst/>
        </a:prstGeom>
        <a:noFill/>
        <a:ln w="9525">
          <a:noFill/>
          <a:miter lim="800000"/>
          <a:headEnd/>
          <a:tailEnd/>
        </a:ln>
      </xdr:spPr>
    </xdr:pic>
    <xdr:clientData/>
  </xdr:twoCellAnchor>
  <xdr:twoCellAnchor editAs="oneCell">
    <xdr:from>
      <xdr:col>3</xdr:col>
      <xdr:colOff>0</xdr:colOff>
      <xdr:row>286</xdr:row>
      <xdr:rowOff>0</xdr:rowOff>
    </xdr:from>
    <xdr:to>
      <xdr:col>3</xdr:col>
      <xdr:colOff>95250</xdr:colOff>
      <xdr:row>286</xdr:row>
      <xdr:rowOff>104775</xdr:rowOff>
    </xdr:to>
    <xdr:pic>
      <xdr:nvPicPr>
        <xdr:cNvPr id="285" name="Grafik 29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7492900"/>
          <a:ext cx="95250" cy="104775"/>
        </a:xfrm>
        <a:prstGeom prst="rect">
          <a:avLst/>
        </a:prstGeom>
        <a:noFill/>
        <a:ln w="9525">
          <a:noFill/>
          <a:miter lim="800000"/>
          <a:headEnd/>
          <a:tailEnd/>
        </a:ln>
      </xdr:spPr>
    </xdr:pic>
    <xdr:clientData/>
  </xdr:twoCellAnchor>
  <xdr:twoCellAnchor editAs="oneCell">
    <xdr:from>
      <xdr:col>3</xdr:col>
      <xdr:colOff>0</xdr:colOff>
      <xdr:row>287</xdr:row>
      <xdr:rowOff>0</xdr:rowOff>
    </xdr:from>
    <xdr:to>
      <xdr:col>3</xdr:col>
      <xdr:colOff>95250</xdr:colOff>
      <xdr:row>287</xdr:row>
      <xdr:rowOff>104775</xdr:rowOff>
    </xdr:to>
    <xdr:pic>
      <xdr:nvPicPr>
        <xdr:cNvPr id="286" name="Grafik 30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7692925"/>
          <a:ext cx="95250" cy="104775"/>
        </a:xfrm>
        <a:prstGeom prst="rect">
          <a:avLst/>
        </a:prstGeom>
        <a:noFill/>
        <a:ln w="9525">
          <a:noFill/>
          <a:miter lim="800000"/>
          <a:headEnd/>
          <a:tailEnd/>
        </a:ln>
      </xdr:spPr>
    </xdr:pic>
    <xdr:clientData/>
  </xdr:twoCellAnchor>
  <xdr:twoCellAnchor editAs="oneCell">
    <xdr:from>
      <xdr:col>3</xdr:col>
      <xdr:colOff>0</xdr:colOff>
      <xdr:row>288</xdr:row>
      <xdr:rowOff>0</xdr:rowOff>
    </xdr:from>
    <xdr:to>
      <xdr:col>3</xdr:col>
      <xdr:colOff>95250</xdr:colOff>
      <xdr:row>288</xdr:row>
      <xdr:rowOff>104775</xdr:rowOff>
    </xdr:to>
    <xdr:pic>
      <xdr:nvPicPr>
        <xdr:cNvPr id="287" name="Grafik 30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7892950"/>
          <a:ext cx="95250" cy="104775"/>
        </a:xfrm>
        <a:prstGeom prst="rect">
          <a:avLst/>
        </a:prstGeom>
        <a:noFill/>
        <a:ln w="9525">
          <a:noFill/>
          <a:miter lim="800000"/>
          <a:headEnd/>
          <a:tailEnd/>
        </a:ln>
      </xdr:spPr>
    </xdr:pic>
    <xdr:clientData/>
  </xdr:twoCellAnchor>
  <xdr:twoCellAnchor editAs="oneCell">
    <xdr:from>
      <xdr:col>3</xdr:col>
      <xdr:colOff>0</xdr:colOff>
      <xdr:row>289</xdr:row>
      <xdr:rowOff>0</xdr:rowOff>
    </xdr:from>
    <xdr:to>
      <xdr:col>3</xdr:col>
      <xdr:colOff>95250</xdr:colOff>
      <xdr:row>289</xdr:row>
      <xdr:rowOff>104775</xdr:rowOff>
    </xdr:to>
    <xdr:pic>
      <xdr:nvPicPr>
        <xdr:cNvPr id="288" name="Grafik 30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8092975"/>
          <a:ext cx="95250" cy="104775"/>
        </a:xfrm>
        <a:prstGeom prst="rect">
          <a:avLst/>
        </a:prstGeom>
        <a:noFill/>
        <a:ln w="9525">
          <a:noFill/>
          <a:miter lim="800000"/>
          <a:headEnd/>
          <a:tailEnd/>
        </a:ln>
      </xdr:spPr>
    </xdr:pic>
    <xdr:clientData/>
  </xdr:twoCellAnchor>
  <xdr:twoCellAnchor editAs="oneCell">
    <xdr:from>
      <xdr:col>3</xdr:col>
      <xdr:colOff>0</xdr:colOff>
      <xdr:row>290</xdr:row>
      <xdr:rowOff>0</xdr:rowOff>
    </xdr:from>
    <xdr:to>
      <xdr:col>3</xdr:col>
      <xdr:colOff>95250</xdr:colOff>
      <xdr:row>290</xdr:row>
      <xdr:rowOff>104775</xdr:rowOff>
    </xdr:to>
    <xdr:pic>
      <xdr:nvPicPr>
        <xdr:cNvPr id="289" name="Grafik 30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8293000"/>
          <a:ext cx="95250" cy="104775"/>
        </a:xfrm>
        <a:prstGeom prst="rect">
          <a:avLst/>
        </a:prstGeom>
        <a:noFill/>
        <a:ln w="9525">
          <a:noFill/>
          <a:miter lim="800000"/>
          <a:headEnd/>
          <a:tailEnd/>
        </a:ln>
      </xdr:spPr>
    </xdr:pic>
    <xdr:clientData/>
  </xdr:twoCellAnchor>
  <xdr:twoCellAnchor editAs="oneCell">
    <xdr:from>
      <xdr:col>3</xdr:col>
      <xdr:colOff>0</xdr:colOff>
      <xdr:row>291</xdr:row>
      <xdr:rowOff>0</xdr:rowOff>
    </xdr:from>
    <xdr:to>
      <xdr:col>3</xdr:col>
      <xdr:colOff>95250</xdr:colOff>
      <xdr:row>291</xdr:row>
      <xdr:rowOff>104775</xdr:rowOff>
    </xdr:to>
    <xdr:pic>
      <xdr:nvPicPr>
        <xdr:cNvPr id="290" name="Grafik 30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8493025"/>
          <a:ext cx="95250" cy="104775"/>
        </a:xfrm>
        <a:prstGeom prst="rect">
          <a:avLst/>
        </a:prstGeom>
        <a:noFill/>
        <a:ln w="9525">
          <a:noFill/>
          <a:miter lim="800000"/>
          <a:headEnd/>
          <a:tailEnd/>
        </a:ln>
      </xdr:spPr>
    </xdr:pic>
    <xdr:clientData/>
  </xdr:twoCellAnchor>
  <xdr:twoCellAnchor editAs="oneCell">
    <xdr:from>
      <xdr:col>3</xdr:col>
      <xdr:colOff>0</xdr:colOff>
      <xdr:row>292</xdr:row>
      <xdr:rowOff>0</xdr:rowOff>
    </xdr:from>
    <xdr:to>
      <xdr:col>3</xdr:col>
      <xdr:colOff>95250</xdr:colOff>
      <xdr:row>292</xdr:row>
      <xdr:rowOff>104775</xdr:rowOff>
    </xdr:to>
    <xdr:pic>
      <xdr:nvPicPr>
        <xdr:cNvPr id="291" name="Grafik 30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8693050"/>
          <a:ext cx="95250" cy="104775"/>
        </a:xfrm>
        <a:prstGeom prst="rect">
          <a:avLst/>
        </a:prstGeom>
        <a:noFill/>
        <a:ln w="9525">
          <a:noFill/>
          <a:miter lim="800000"/>
          <a:headEnd/>
          <a:tailEnd/>
        </a:ln>
      </xdr:spPr>
    </xdr:pic>
    <xdr:clientData/>
  </xdr:twoCellAnchor>
  <xdr:twoCellAnchor editAs="oneCell">
    <xdr:from>
      <xdr:col>3</xdr:col>
      <xdr:colOff>0</xdr:colOff>
      <xdr:row>293</xdr:row>
      <xdr:rowOff>0</xdr:rowOff>
    </xdr:from>
    <xdr:to>
      <xdr:col>3</xdr:col>
      <xdr:colOff>95250</xdr:colOff>
      <xdr:row>293</xdr:row>
      <xdr:rowOff>104775</xdr:rowOff>
    </xdr:to>
    <xdr:pic>
      <xdr:nvPicPr>
        <xdr:cNvPr id="292" name="Grafik 30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8893075"/>
          <a:ext cx="95250" cy="104775"/>
        </a:xfrm>
        <a:prstGeom prst="rect">
          <a:avLst/>
        </a:prstGeom>
        <a:noFill/>
        <a:ln w="9525">
          <a:noFill/>
          <a:miter lim="800000"/>
          <a:headEnd/>
          <a:tailEnd/>
        </a:ln>
      </xdr:spPr>
    </xdr:pic>
    <xdr:clientData/>
  </xdr:twoCellAnchor>
  <xdr:twoCellAnchor editAs="oneCell">
    <xdr:from>
      <xdr:col>3</xdr:col>
      <xdr:colOff>0</xdr:colOff>
      <xdr:row>294</xdr:row>
      <xdr:rowOff>0</xdr:rowOff>
    </xdr:from>
    <xdr:to>
      <xdr:col>3</xdr:col>
      <xdr:colOff>95250</xdr:colOff>
      <xdr:row>294</xdr:row>
      <xdr:rowOff>104775</xdr:rowOff>
    </xdr:to>
    <xdr:pic>
      <xdr:nvPicPr>
        <xdr:cNvPr id="293" name="Grafik 30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9093100"/>
          <a:ext cx="95250" cy="104775"/>
        </a:xfrm>
        <a:prstGeom prst="rect">
          <a:avLst/>
        </a:prstGeom>
        <a:noFill/>
        <a:ln w="9525">
          <a:noFill/>
          <a:miter lim="800000"/>
          <a:headEnd/>
          <a:tailEnd/>
        </a:ln>
      </xdr:spPr>
    </xdr:pic>
    <xdr:clientData/>
  </xdr:twoCellAnchor>
  <xdr:twoCellAnchor editAs="oneCell">
    <xdr:from>
      <xdr:col>3</xdr:col>
      <xdr:colOff>0</xdr:colOff>
      <xdr:row>295</xdr:row>
      <xdr:rowOff>0</xdr:rowOff>
    </xdr:from>
    <xdr:to>
      <xdr:col>3</xdr:col>
      <xdr:colOff>95250</xdr:colOff>
      <xdr:row>295</xdr:row>
      <xdr:rowOff>104775</xdr:rowOff>
    </xdr:to>
    <xdr:pic>
      <xdr:nvPicPr>
        <xdr:cNvPr id="294" name="Grafik 30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9293125"/>
          <a:ext cx="95250" cy="104775"/>
        </a:xfrm>
        <a:prstGeom prst="rect">
          <a:avLst/>
        </a:prstGeom>
        <a:noFill/>
        <a:ln w="9525">
          <a:noFill/>
          <a:miter lim="800000"/>
          <a:headEnd/>
          <a:tailEnd/>
        </a:ln>
      </xdr:spPr>
    </xdr:pic>
    <xdr:clientData/>
  </xdr:twoCellAnchor>
  <xdr:twoCellAnchor editAs="oneCell">
    <xdr:from>
      <xdr:col>3</xdr:col>
      <xdr:colOff>0</xdr:colOff>
      <xdr:row>296</xdr:row>
      <xdr:rowOff>0</xdr:rowOff>
    </xdr:from>
    <xdr:to>
      <xdr:col>3</xdr:col>
      <xdr:colOff>95250</xdr:colOff>
      <xdr:row>296</xdr:row>
      <xdr:rowOff>104775</xdr:rowOff>
    </xdr:to>
    <xdr:pic>
      <xdr:nvPicPr>
        <xdr:cNvPr id="295" name="Grafik 30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9493150"/>
          <a:ext cx="95250" cy="104775"/>
        </a:xfrm>
        <a:prstGeom prst="rect">
          <a:avLst/>
        </a:prstGeom>
        <a:noFill/>
        <a:ln w="9525">
          <a:noFill/>
          <a:miter lim="800000"/>
          <a:headEnd/>
          <a:tailEnd/>
        </a:ln>
      </xdr:spPr>
    </xdr:pic>
    <xdr:clientData/>
  </xdr:twoCellAnchor>
  <xdr:twoCellAnchor editAs="oneCell">
    <xdr:from>
      <xdr:col>3</xdr:col>
      <xdr:colOff>0</xdr:colOff>
      <xdr:row>297</xdr:row>
      <xdr:rowOff>0</xdr:rowOff>
    </xdr:from>
    <xdr:to>
      <xdr:col>3</xdr:col>
      <xdr:colOff>95250</xdr:colOff>
      <xdr:row>297</xdr:row>
      <xdr:rowOff>104775</xdr:rowOff>
    </xdr:to>
    <xdr:pic>
      <xdr:nvPicPr>
        <xdr:cNvPr id="296" name="Grafik 31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9693175"/>
          <a:ext cx="95250" cy="104775"/>
        </a:xfrm>
        <a:prstGeom prst="rect">
          <a:avLst/>
        </a:prstGeom>
        <a:noFill/>
        <a:ln w="9525">
          <a:noFill/>
          <a:miter lim="800000"/>
          <a:headEnd/>
          <a:tailEnd/>
        </a:ln>
      </xdr:spPr>
    </xdr:pic>
    <xdr:clientData/>
  </xdr:twoCellAnchor>
  <xdr:twoCellAnchor editAs="oneCell">
    <xdr:from>
      <xdr:col>3</xdr:col>
      <xdr:colOff>0</xdr:colOff>
      <xdr:row>298</xdr:row>
      <xdr:rowOff>0</xdr:rowOff>
    </xdr:from>
    <xdr:to>
      <xdr:col>3</xdr:col>
      <xdr:colOff>95250</xdr:colOff>
      <xdr:row>298</xdr:row>
      <xdr:rowOff>104775</xdr:rowOff>
    </xdr:to>
    <xdr:pic>
      <xdr:nvPicPr>
        <xdr:cNvPr id="297" name="Grafik 31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59893200"/>
          <a:ext cx="95250" cy="104775"/>
        </a:xfrm>
        <a:prstGeom prst="rect">
          <a:avLst/>
        </a:prstGeom>
        <a:noFill/>
        <a:ln w="9525">
          <a:noFill/>
          <a:miter lim="800000"/>
          <a:headEnd/>
          <a:tailEnd/>
        </a:ln>
      </xdr:spPr>
    </xdr:pic>
    <xdr:clientData/>
  </xdr:twoCellAnchor>
  <xdr:twoCellAnchor editAs="oneCell">
    <xdr:from>
      <xdr:col>3</xdr:col>
      <xdr:colOff>0</xdr:colOff>
      <xdr:row>299</xdr:row>
      <xdr:rowOff>0</xdr:rowOff>
    </xdr:from>
    <xdr:to>
      <xdr:col>3</xdr:col>
      <xdr:colOff>95250</xdr:colOff>
      <xdr:row>299</xdr:row>
      <xdr:rowOff>104775</xdr:rowOff>
    </xdr:to>
    <xdr:pic>
      <xdr:nvPicPr>
        <xdr:cNvPr id="298" name="Grafik 31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0093225"/>
          <a:ext cx="95250" cy="104775"/>
        </a:xfrm>
        <a:prstGeom prst="rect">
          <a:avLst/>
        </a:prstGeom>
        <a:noFill/>
        <a:ln w="9525">
          <a:noFill/>
          <a:miter lim="800000"/>
          <a:headEnd/>
          <a:tailEnd/>
        </a:ln>
      </xdr:spPr>
    </xdr:pic>
    <xdr:clientData/>
  </xdr:twoCellAnchor>
  <xdr:twoCellAnchor editAs="oneCell">
    <xdr:from>
      <xdr:col>3</xdr:col>
      <xdr:colOff>0</xdr:colOff>
      <xdr:row>300</xdr:row>
      <xdr:rowOff>0</xdr:rowOff>
    </xdr:from>
    <xdr:to>
      <xdr:col>3</xdr:col>
      <xdr:colOff>95250</xdr:colOff>
      <xdr:row>300</xdr:row>
      <xdr:rowOff>104775</xdr:rowOff>
    </xdr:to>
    <xdr:pic>
      <xdr:nvPicPr>
        <xdr:cNvPr id="299" name="Grafik 31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0293250"/>
          <a:ext cx="95250" cy="104775"/>
        </a:xfrm>
        <a:prstGeom prst="rect">
          <a:avLst/>
        </a:prstGeom>
        <a:noFill/>
        <a:ln w="9525">
          <a:noFill/>
          <a:miter lim="800000"/>
          <a:headEnd/>
          <a:tailEnd/>
        </a:ln>
      </xdr:spPr>
    </xdr:pic>
    <xdr:clientData/>
  </xdr:twoCellAnchor>
  <xdr:twoCellAnchor editAs="oneCell">
    <xdr:from>
      <xdr:col>3</xdr:col>
      <xdr:colOff>0</xdr:colOff>
      <xdr:row>301</xdr:row>
      <xdr:rowOff>0</xdr:rowOff>
    </xdr:from>
    <xdr:to>
      <xdr:col>3</xdr:col>
      <xdr:colOff>95250</xdr:colOff>
      <xdr:row>301</xdr:row>
      <xdr:rowOff>104775</xdr:rowOff>
    </xdr:to>
    <xdr:pic>
      <xdr:nvPicPr>
        <xdr:cNvPr id="300" name="Grafik 31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0493275"/>
          <a:ext cx="95250" cy="104775"/>
        </a:xfrm>
        <a:prstGeom prst="rect">
          <a:avLst/>
        </a:prstGeom>
        <a:noFill/>
        <a:ln w="9525">
          <a:noFill/>
          <a:miter lim="800000"/>
          <a:headEnd/>
          <a:tailEnd/>
        </a:ln>
      </xdr:spPr>
    </xdr:pic>
    <xdr:clientData/>
  </xdr:twoCellAnchor>
  <xdr:twoCellAnchor editAs="oneCell">
    <xdr:from>
      <xdr:col>3</xdr:col>
      <xdr:colOff>0</xdr:colOff>
      <xdr:row>302</xdr:row>
      <xdr:rowOff>0</xdr:rowOff>
    </xdr:from>
    <xdr:to>
      <xdr:col>3</xdr:col>
      <xdr:colOff>95250</xdr:colOff>
      <xdr:row>302</xdr:row>
      <xdr:rowOff>104775</xdr:rowOff>
    </xdr:to>
    <xdr:pic>
      <xdr:nvPicPr>
        <xdr:cNvPr id="301" name="Grafik 31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0693300"/>
          <a:ext cx="95250" cy="104775"/>
        </a:xfrm>
        <a:prstGeom prst="rect">
          <a:avLst/>
        </a:prstGeom>
        <a:noFill/>
        <a:ln w="9525">
          <a:noFill/>
          <a:miter lim="800000"/>
          <a:headEnd/>
          <a:tailEnd/>
        </a:ln>
      </xdr:spPr>
    </xdr:pic>
    <xdr:clientData/>
  </xdr:twoCellAnchor>
  <xdr:twoCellAnchor editAs="oneCell">
    <xdr:from>
      <xdr:col>3</xdr:col>
      <xdr:colOff>0</xdr:colOff>
      <xdr:row>303</xdr:row>
      <xdr:rowOff>0</xdr:rowOff>
    </xdr:from>
    <xdr:to>
      <xdr:col>3</xdr:col>
      <xdr:colOff>95250</xdr:colOff>
      <xdr:row>303</xdr:row>
      <xdr:rowOff>104775</xdr:rowOff>
    </xdr:to>
    <xdr:pic>
      <xdr:nvPicPr>
        <xdr:cNvPr id="302" name="Grafik 31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0893325"/>
          <a:ext cx="95250" cy="104775"/>
        </a:xfrm>
        <a:prstGeom prst="rect">
          <a:avLst/>
        </a:prstGeom>
        <a:noFill/>
        <a:ln w="9525">
          <a:noFill/>
          <a:miter lim="800000"/>
          <a:headEnd/>
          <a:tailEnd/>
        </a:ln>
      </xdr:spPr>
    </xdr:pic>
    <xdr:clientData/>
  </xdr:twoCellAnchor>
  <xdr:twoCellAnchor editAs="oneCell">
    <xdr:from>
      <xdr:col>3</xdr:col>
      <xdr:colOff>0</xdr:colOff>
      <xdr:row>304</xdr:row>
      <xdr:rowOff>0</xdr:rowOff>
    </xdr:from>
    <xdr:to>
      <xdr:col>3</xdr:col>
      <xdr:colOff>95250</xdr:colOff>
      <xdr:row>304</xdr:row>
      <xdr:rowOff>104775</xdr:rowOff>
    </xdr:to>
    <xdr:pic>
      <xdr:nvPicPr>
        <xdr:cNvPr id="303" name="Grafik 31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1093350"/>
          <a:ext cx="95250" cy="104775"/>
        </a:xfrm>
        <a:prstGeom prst="rect">
          <a:avLst/>
        </a:prstGeom>
        <a:noFill/>
        <a:ln w="9525">
          <a:noFill/>
          <a:miter lim="800000"/>
          <a:headEnd/>
          <a:tailEnd/>
        </a:ln>
      </xdr:spPr>
    </xdr:pic>
    <xdr:clientData/>
  </xdr:twoCellAnchor>
  <xdr:twoCellAnchor editAs="oneCell">
    <xdr:from>
      <xdr:col>3</xdr:col>
      <xdr:colOff>0</xdr:colOff>
      <xdr:row>305</xdr:row>
      <xdr:rowOff>0</xdr:rowOff>
    </xdr:from>
    <xdr:to>
      <xdr:col>3</xdr:col>
      <xdr:colOff>95250</xdr:colOff>
      <xdr:row>305</xdr:row>
      <xdr:rowOff>104775</xdr:rowOff>
    </xdr:to>
    <xdr:pic>
      <xdr:nvPicPr>
        <xdr:cNvPr id="304" name="Grafik 31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1293375"/>
          <a:ext cx="95250" cy="104775"/>
        </a:xfrm>
        <a:prstGeom prst="rect">
          <a:avLst/>
        </a:prstGeom>
        <a:noFill/>
        <a:ln w="9525">
          <a:noFill/>
          <a:miter lim="800000"/>
          <a:headEnd/>
          <a:tailEnd/>
        </a:ln>
      </xdr:spPr>
    </xdr:pic>
    <xdr:clientData/>
  </xdr:twoCellAnchor>
  <xdr:twoCellAnchor editAs="oneCell">
    <xdr:from>
      <xdr:col>3</xdr:col>
      <xdr:colOff>0</xdr:colOff>
      <xdr:row>306</xdr:row>
      <xdr:rowOff>0</xdr:rowOff>
    </xdr:from>
    <xdr:to>
      <xdr:col>3</xdr:col>
      <xdr:colOff>95250</xdr:colOff>
      <xdr:row>306</xdr:row>
      <xdr:rowOff>104775</xdr:rowOff>
    </xdr:to>
    <xdr:pic>
      <xdr:nvPicPr>
        <xdr:cNvPr id="305" name="Grafik 31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1493400"/>
          <a:ext cx="95250" cy="104775"/>
        </a:xfrm>
        <a:prstGeom prst="rect">
          <a:avLst/>
        </a:prstGeom>
        <a:noFill/>
        <a:ln w="9525">
          <a:noFill/>
          <a:miter lim="800000"/>
          <a:headEnd/>
          <a:tailEnd/>
        </a:ln>
      </xdr:spPr>
    </xdr:pic>
    <xdr:clientData/>
  </xdr:twoCellAnchor>
  <xdr:twoCellAnchor editAs="oneCell">
    <xdr:from>
      <xdr:col>3</xdr:col>
      <xdr:colOff>0</xdr:colOff>
      <xdr:row>307</xdr:row>
      <xdr:rowOff>0</xdr:rowOff>
    </xdr:from>
    <xdr:to>
      <xdr:col>3</xdr:col>
      <xdr:colOff>95250</xdr:colOff>
      <xdr:row>307</xdr:row>
      <xdr:rowOff>104775</xdr:rowOff>
    </xdr:to>
    <xdr:pic>
      <xdr:nvPicPr>
        <xdr:cNvPr id="306" name="Grafik 32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1693425"/>
          <a:ext cx="95250" cy="104775"/>
        </a:xfrm>
        <a:prstGeom prst="rect">
          <a:avLst/>
        </a:prstGeom>
        <a:noFill/>
        <a:ln w="9525">
          <a:noFill/>
          <a:miter lim="800000"/>
          <a:headEnd/>
          <a:tailEnd/>
        </a:ln>
      </xdr:spPr>
    </xdr:pic>
    <xdr:clientData/>
  </xdr:twoCellAnchor>
  <xdr:twoCellAnchor editAs="oneCell">
    <xdr:from>
      <xdr:col>3</xdr:col>
      <xdr:colOff>0</xdr:colOff>
      <xdr:row>308</xdr:row>
      <xdr:rowOff>0</xdr:rowOff>
    </xdr:from>
    <xdr:to>
      <xdr:col>3</xdr:col>
      <xdr:colOff>95250</xdr:colOff>
      <xdr:row>308</xdr:row>
      <xdr:rowOff>104775</xdr:rowOff>
    </xdr:to>
    <xdr:pic>
      <xdr:nvPicPr>
        <xdr:cNvPr id="307" name="Grafik 32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1893450"/>
          <a:ext cx="95250" cy="104775"/>
        </a:xfrm>
        <a:prstGeom prst="rect">
          <a:avLst/>
        </a:prstGeom>
        <a:noFill/>
        <a:ln w="9525">
          <a:noFill/>
          <a:miter lim="800000"/>
          <a:headEnd/>
          <a:tailEnd/>
        </a:ln>
      </xdr:spPr>
    </xdr:pic>
    <xdr:clientData/>
  </xdr:twoCellAnchor>
  <xdr:twoCellAnchor editAs="oneCell">
    <xdr:from>
      <xdr:col>3</xdr:col>
      <xdr:colOff>0</xdr:colOff>
      <xdr:row>309</xdr:row>
      <xdr:rowOff>0</xdr:rowOff>
    </xdr:from>
    <xdr:to>
      <xdr:col>3</xdr:col>
      <xdr:colOff>95250</xdr:colOff>
      <xdr:row>309</xdr:row>
      <xdr:rowOff>104775</xdr:rowOff>
    </xdr:to>
    <xdr:pic>
      <xdr:nvPicPr>
        <xdr:cNvPr id="308" name="Grafik 32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2093475"/>
          <a:ext cx="95250" cy="104775"/>
        </a:xfrm>
        <a:prstGeom prst="rect">
          <a:avLst/>
        </a:prstGeom>
        <a:noFill/>
        <a:ln w="9525">
          <a:noFill/>
          <a:miter lim="800000"/>
          <a:headEnd/>
          <a:tailEnd/>
        </a:ln>
      </xdr:spPr>
    </xdr:pic>
    <xdr:clientData/>
  </xdr:twoCellAnchor>
  <xdr:twoCellAnchor editAs="oneCell">
    <xdr:from>
      <xdr:col>3</xdr:col>
      <xdr:colOff>0</xdr:colOff>
      <xdr:row>310</xdr:row>
      <xdr:rowOff>0</xdr:rowOff>
    </xdr:from>
    <xdr:to>
      <xdr:col>3</xdr:col>
      <xdr:colOff>95250</xdr:colOff>
      <xdr:row>310</xdr:row>
      <xdr:rowOff>104775</xdr:rowOff>
    </xdr:to>
    <xdr:pic>
      <xdr:nvPicPr>
        <xdr:cNvPr id="309" name="Grafik 32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2293500"/>
          <a:ext cx="95250" cy="104775"/>
        </a:xfrm>
        <a:prstGeom prst="rect">
          <a:avLst/>
        </a:prstGeom>
        <a:noFill/>
        <a:ln w="9525">
          <a:noFill/>
          <a:miter lim="800000"/>
          <a:headEnd/>
          <a:tailEnd/>
        </a:ln>
      </xdr:spPr>
    </xdr:pic>
    <xdr:clientData/>
  </xdr:twoCellAnchor>
  <xdr:twoCellAnchor editAs="oneCell">
    <xdr:from>
      <xdr:col>3</xdr:col>
      <xdr:colOff>0</xdr:colOff>
      <xdr:row>311</xdr:row>
      <xdr:rowOff>0</xdr:rowOff>
    </xdr:from>
    <xdr:to>
      <xdr:col>3</xdr:col>
      <xdr:colOff>95250</xdr:colOff>
      <xdr:row>311</xdr:row>
      <xdr:rowOff>104775</xdr:rowOff>
    </xdr:to>
    <xdr:pic>
      <xdr:nvPicPr>
        <xdr:cNvPr id="310" name="Grafik 32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2493525"/>
          <a:ext cx="95250" cy="104775"/>
        </a:xfrm>
        <a:prstGeom prst="rect">
          <a:avLst/>
        </a:prstGeom>
        <a:noFill/>
        <a:ln w="9525">
          <a:noFill/>
          <a:miter lim="800000"/>
          <a:headEnd/>
          <a:tailEnd/>
        </a:ln>
      </xdr:spPr>
    </xdr:pic>
    <xdr:clientData/>
  </xdr:twoCellAnchor>
  <xdr:twoCellAnchor editAs="oneCell">
    <xdr:from>
      <xdr:col>3</xdr:col>
      <xdr:colOff>0</xdr:colOff>
      <xdr:row>312</xdr:row>
      <xdr:rowOff>0</xdr:rowOff>
    </xdr:from>
    <xdr:to>
      <xdr:col>3</xdr:col>
      <xdr:colOff>95250</xdr:colOff>
      <xdr:row>312</xdr:row>
      <xdr:rowOff>104775</xdr:rowOff>
    </xdr:to>
    <xdr:pic>
      <xdr:nvPicPr>
        <xdr:cNvPr id="311" name="Grafik 32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2693550"/>
          <a:ext cx="95250" cy="104775"/>
        </a:xfrm>
        <a:prstGeom prst="rect">
          <a:avLst/>
        </a:prstGeom>
        <a:noFill/>
        <a:ln w="9525">
          <a:noFill/>
          <a:miter lim="800000"/>
          <a:headEnd/>
          <a:tailEnd/>
        </a:ln>
      </xdr:spPr>
    </xdr:pic>
    <xdr:clientData/>
  </xdr:twoCellAnchor>
  <xdr:twoCellAnchor editAs="oneCell">
    <xdr:from>
      <xdr:col>3</xdr:col>
      <xdr:colOff>0</xdr:colOff>
      <xdr:row>313</xdr:row>
      <xdr:rowOff>0</xdr:rowOff>
    </xdr:from>
    <xdr:to>
      <xdr:col>3</xdr:col>
      <xdr:colOff>95250</xdr:colOff>
      <xdr:row>313</xdr:row>
      <xdr:rowOff>104775</xdr:rowOff>
    </xdr:to>
    <xdr:pic>
      <xdr:nvPicPr>
        <xdr:cNvPr id="312" name="Grafik 32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2893575"/>
          <a:ext cx="95250" cy="104775"/>
        </a:xfrm>
        <a:prstGeom prst="rect">
          <a:avLst/>
        </a:prstGeom>
        <a:noFill/>
        <a:ln w="9525">
          <a:noFill/>
          <a:miter lim="800000"/>
          <a:headEnd/>
          <a:tailEnd/>
        </a:ln>
      </xdr:spPr>
    </xdr:pic>
    <xdr:clientData/>
  </xdr:twoCellAnchor>
  <xdr:twoCellAnchor editAs="oneCell">
    <xdr:from>
      <xdr:col>3</xdr:col>
      <xdr:colOff>0</xdr:colOff>
      <xdr:row>314</xdr:row>
      <xdr:rowOff>0</xdr:rowOff>
    </xdr:from>
    <xdr:to>
      <xdr:col>3</xdr:col>
      <xdr:colOff>95250</xdr:colOff>
      <xdr:row>314</xdr:row>
      <xdr:rowOff>104775</xdr:rowOff>
    </xdr:to>
    <xdr:pic>
      <xdr:nvPicPr>
        <xdr:cNvPr id="313" name="Grafik 32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3093600"/>
          <a:ext cx="95250" cy="104775"/>
        </a:xfrm>
        <a:prstGeom prst="rect">
          <a:avLst/>
        </a:prstGeom>
        <a:noFill/>
        <a:ln w="9525">
          <a:noFill/>
          <a:miter lim="800000"/>
          <a:headEnd/>
          <a:tailEnd/>
        </a:ln>
      </xdr:spPr>
    </xdr:pic>
    <xdr:clientData/>
  </xdr:twoCellAnchor>
  <xdr:twoCellAnchor editAs="oneCell">
    <xdr:from>
      <xdr:col>3</xdr:col>
      <xdr:colOff>0</xdr:colOff>
      <xdr:row>315</xdr:row>
      <xdr:rowOff>0</xdr:rowOff>
    </xdr:from>
    <xdr:to>
      <xdr:col>3</xdr:col>
      <xdr:colOff>95250</xdr:colOff>
      <xdr:row>315</xdr:row>
      <xdr:rowOff>104775</xdr:rowOff>
    </xdr:to>
    <xdr:pic>
      <xdr:nvPicPr>
        <xdr:cNvPr id="314" name="Grafik 32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3293625"/>
          <a:ext cx="95250" cy="104775"/>
        </a:xfrm>
        <a:prstGeom prst="rect">
          <a:avLst/>
        </a:prstGeom>
        <a:noFill/>
        <a:ln w="9525">
          <a:noFill/>
          <a:miter lim="800000"/>
          <a:headEnd/>
          <a:tailEnd/>
        </a:ln>
      </xdr:spPr>
    </xdr:pic>
    <xdr:clientData/>
  </xdr:twoCellAnchor>
  <xdr:twoCellAnchor editAs="oneCell">
    <xdr:from>
      <xdr:col>3</xdr:col>
      <xdr:colOff>0</xdr:colOff>
      <xdr:row>316</xdr:row>
      <xdr:rowOff>0</xdr:rowOff>
    </xdr:from>
    <xdr:to>
      <xdr:col>3</xdr:col>
      <xdr:colOff>95250</xdr:colOff>
      <xdr:row>316</xdr:row>
      <xdr:rowOff>104775</xdr:rowOff>
    </xdr:to>
    <xdr:pic>
      <xdr:nvPicPr>
        <xdr:cNvPr id="315" name="Grafik 32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3493650"/>
          <a:ext cx="95250" cy="104775"/>
        </a:xfrm>
        <a:prstGeom prst="rect">
          <a:avLst/>
        </a:prstGeom>
        <a:noFill/>
        <a:ln w="9525">
          <a:noFill/>
          <a:miter lim="800000"/>
          <a:headEnd/>
          <a:tailEnd/>
        </a:ln>
      </xdr:spPr>
    </xdr:pic>
    <xdr:clientData/>
  </xdr:twoCellAnchor>
  <xdr:twoCellAnchor editAs="oneCell">
    <xdr:from>
      <xdr:col>3</xdr:col>
      <xdr:colOff>0</xdr:colOff>
      <xdr:row>317</xdr:row>
      <xdr:rowOff>0</xdr:rowOff>
    </xdr:from>
    <xdr:to>
      <xdr:col>3</xdr:col>
      <xdr:colOff>95250</xdr:colOff>
      <xdr:row>317</xdr:row>
      <xdr:rowOff>104775</xdr:rowOff>
    </xdr:to>
    <xdr:pic>
      <xdr:nvPicPr>
        <xdr:cNvPr id="316" name="Grafik 33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3693675"/>
          <a:ext cx="95250" cy="104775"/>
        </a:xfrm>
        <a:prstGeom prst="rect">
          <a:avLst/>
        </a:prstGeom>
        <a:noFill/>
        <a:ln w="9525">
          <a:noFill/>
          <a:miter lim="800000"/>
          <a:headEnd/>
          <a:tailEnd/>
        </a:ln>
      </xdr:spPr>
    </xdr:pic>
    <xdr:clientData/>
  </xdr:twoCellAnchor>
  <xdr:twoCellAnchor editAs="oneCell">
    <xdr:from>
      <xdr:col>3</xdr:col>
      <xdr:colOff>0</xdr:colOff>
      <xdr:row>318</xdr:row>
      <xdr:rowOff>0</xdr:rowOff>
    </xdr:from>
    <xdr:to>
      <xdr:col>3</xdr:col>
      <xdr:colOff>95250</xdr:colOff>
      <xdr:row>318</xdr:row>
      <xdr:rowOff>104775</xdr:rowOff>
    </xdr:to>
    <xdr:pic>
      <xdr:nvPicPr>
        <xdr:cNvPr id="317" name="Grafik 33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3893700"/>
          <a:ext cx="95250" cy="104775"/>
        </a:xfrm>
        <a:prstGeom prst="rect">
          <a:avLst/>
        </a:prstGeom>
        <a:noFill/>
        <a:ln w="9525">
          <a:noFill/>
          <a:miter lim="800000"/>
          <a:headEnd/>
          <a:tailEnd/>
        </a:ln>
      </xdr:spPr>
    </xdr:pic>
    <xdr:clientData/>
  </xdr:twoCellAnchor>
  <xdr:twoCellAnchor editAs="oneCell">
    <xdr:from>
      <xdr:col>3</xdr:col>
      <xdr:colOff>0</xdr:colOff>
      <xdr:row>319</xdr:row>
      <xdr:rowOff>0</xdr:rowOff>
    </xdr:from>
    <xdr:to>
      <xdr:col>3</xdr:col>
      <xdr:colOff>95250</xdr:colOff>
      <xdr:row>319</xdr:row>
      <xdr:rowOff>104775</xdr:rowOff>
    </xdr:to>
    <xdr:pic>
      <xdr:nvPicPr>
        <xdr:cNvPr id="318" name="Grafik 33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4093725"/>
          <a:ext cx="95250" cy="104775"/>
        </a:xfrm>
        <a:prstGeom prst="rect">
          <a:avLst/>
        </a:prstGeom>
        <a:noFill/>
        <a:ln w="9525">
          <a:noFill/>
          <a:miter lim="800000"/>
          <a:headEnd/>
          <a:tailEnd/>
        </a:ln>
      </xdr:spPr>
    </xdr:pic>
    <xdr:clientData/>
  </xdr:twoCellAnchor>
  <xdr:twoCellAnchor editAs="oneCell">
    <xdr:from>
      <xdr:col>3</xdr:col>
      <xdr:colOff>0</xdr:colOff>
      <xdr:row>320</xdr:row>
      <xdr:rowOff>0</xdr:rowOff>
    </xdr:from>
    <xdr:to>
      <xdr:col>3</xdr:col>
      <xdr:colOff>95250</xdr:colOff>
      <xdr:row>320</xdr:row>
      <xdr:rowOff>104775</xdr:rowOff>
    </xdr:to>
    <xdr:pic>
      <xdr:nvPicPr>
        <xdr:cNvPr id="319" name="Grafik 33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4293750"/>
          <a:ext cx="95250" cy="104775"/>
        </a:xfrm>
        <a:prstGeom prst="rect">
          <a:avLst/>
        </a:prstGeom>
        <a:noFill/>
        <a:ln w="9525">
          <a:noFill/>
          <a:miter lim="800000"/>
          <a:headEnd/>
          <a:tailEnd/>
        </a:ln>
      </xdr:spPr>
    </xdr:pic>
    <xdr:clientData/>
  </xdr:twoCellAnchor>
  <xdr:twoCellAnchor editAs="oneCell">
    <xdr:from>
      <xdr:col>3</xdr:col>
      <xdr:colOff>0</xdr:colOff>
      <xdr:row>321</xdr:row>
      <xdr:rowOff>0</xdr:rowOff>
    </xdr:from>
    <xdr:to>
      <xdr:col>3</xdr:col>
      <xdr:colOff>95250</xdr:colOff>
      <xdr:row>321</xdr:row>
      <xdr:rowOff>104775</xdr:rowOff>
    </xdr:to>
    <xdr:pic>
      <xdr:nvPicPr>
        <xdr:cNvPr id="320" name="Grafik 33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4493775"/>
          <a:ext cx="95250" cy="104775"/>
        </a:xfrm>
        <a:prstGeom prst="rect">
          <a:avLst/>
        </a:prstGeom>
        <a:noFill/>
        <a:ln w="9525">
          <a:noFill/>
          <a:miter lim="800000"/>
          <a:headEnd/>
          <a:tailEnd/>
        </a:ln>
      </xdr:spPr>
    </xdr:pic>
    <xdr:clientData/>
  </xdr:twoCellAnchor>
  <xdr:twoCellAnchor editAs="oneCell">
    <xdr:from>
      <xdr:col>3</xdr:col>
      <xdr:colOff>0</xdr:colOff>
      <xdr:row>322</xdr:row>
      <xdr:rowOff>0</xdr:rowOff>
    </xdr:from>
    <xdr:to>
      <xdr:col>3</xdr:col>
      <xdr:colOff>95250</xdr:colOff>
      <xdr:row>322</xdr:row>
      <xdr:rowOff>104775</xdr:rowOff>
    </xdr:to>
    <xdr:pic>
      <xdr:nvPicPr>
        <xdr:cNvPr id="321" name="Grafik 33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4693800"/>
          <a:ext cx="95250" cy="104775"/>
        </a:xfrm>
        <a:prstGeom prst="rect">
          <a:avLst/>
        </a:prstGeom>
        <a:noFill/>
        <a:ln w="9525">
          <a:noFill/>
          <a:miter lim="800000"/>
          <a:headEnd/>
          <a:tailEnd/>
        </a:ln>
      </xdr:spPr>
    </xdr:pic>
    <xdr:clientData/>
  </xdr:twoCellAnchor>
  <xdr:twoCellAnchor editAs="oneCell">
    <xdr:from>
      <xdr:col>3</xdr:col>
      <xdr:colOff>0</xdr:colOff>
      <xdr:row>323</xdr:row>
      <xdr:rowOff>0</xdr:rowOff>
    </xdr:from>
    <xdr:to>
      <xdr:col>3</xdr:col>
      <xdr:colOff>95250</xdr:colOff>
      <xdr:row>323</xdr:row>
      <xdr:rowOff>104775</xdr:rowOff>
    </xdr:to>
    <xdr:pic>
      <xdr:nvPicPr>
        <xdr:cNvPr id="322" name="Grafik 33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4893825"/>
          <a:ext cx="95250" cy="104775"/>
        </a:xfrm>
        <a:prstGeom prst="rect">
          <a:avLst/>
        </a:prstGeom>
        <a:noFill/>
        <a:ln w="9525">
          <a:noFill/>
          <a:miter lim="800000"/>
          <a:headEnd/>
          <a:tailEnd/>
        </a:ln>
      </xdr:spPr>
    </xdr:pic>
    <xdr:clientData/>
  </xdr:twoCellAnchor>
  <xdr:twoCellAnchor editAs="oneCell">
    <xdr:from>
      <xdr:col>3</xdr:col>
      <xdr:colOff>0</xdr:colOff>
      <xdr:row>324</xdr:row>
      <xdr:rowOff>0</xdr:rowOff>
    </xdr:from>
    <xdr:to>
      <xdr:col>3</xdr:col>
      <xdr:colOff>95250</xdr:colOff>
      <xdr:row>324</xdr:row>
      <xdr:rowOff>104775</xdr:rowOff>
    </xdr:to>
    <xdr:pic>
      <xdr:nvPicPr>
        <xdr:cNvPr id="323" name="Grafik 33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5093850"/>
          <a:ext cx="95250" cy="104775"/>
        </a:xfrm>
        <a:prstGeom prst="rect">
          <a:avLst/>
        </a:prstGeom>
        <a:noFill/>
        <a:ln w="9525">
          <a:noFill/>
          <a:miter lim="800000"/>
          <a:headEnd/>
          <a:tailEnd/>
        </a:ln>
      </xdr:spPr>
    </xdr:pic>
    <xdr:clientData/>
  </xdr:twoCellAnchor>
  <xdr:twoCellAnchor editAs="oneCell">
    <xdr:from>
      <xdr:col>3</xdr:col>
      <xdr:colOff>0</xdr:colOff>
      <xdr:row>325</xdr:row>
      <xdr:rowOff>0</xdr:rowOff>
    </xdr:from>
    <xdr:to>
      <xdr:col>3</xdr:col>
      <xdr:colOff>95250</xdr:colOff>
      <xdr:row>325</xdr:row>
      <xdr:rowOff>104775</xdr:rowOff>
    </xdr:to>
    <xdr:pic>
      <xdr:nvPicPr>
        <xdr:cNvPr id="324" name="Grafik 33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5293875"/>
          <a:ext cx="95250" cy="104775"/>
        </a:xfrm>
        <a:prstGeom prst="rect">
          <a:avLst/>
        </a:prstGeom>
        <a:noFill/>
        <a:ln w="9525">
          <a:noFill/>
          <a:miter lim="800000"/>
          <a:headEnd/>
          <a:tailEnd/>
        </a:ln>
      </xdr:spPr>
    </xdr:pic>
    <xdr:clientData/>
  </xdr:twoCellAnchor>
  <xdr:twoCellAnchor editAs="oneCell">
    <xdr:from>
      <xdr:col>3</xdr:col>
      <xdr:colOff>0</xdr:colOff>
      <xdr:row>326</xdr:row>
      <xdr:rowOff>0</xdr:rowOff>
    </xdr:from>
    <xdr:to>
      <xdr:col>3</xdr:col>
      <xdr:colOff>95250</xdr:colOff>
      <xdr:row>326</xdr:row>
      <xdr:rowOff>104775</xdr:rowOff>
    </xdr:to>
    <xdr:pic>
      <xdr:nvPicPr>
        <xdr:cNvPr id="325" name="Grafik 33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5493900"/>
          <a:ext cx="95250" cy="104775"/>
        </a:xfrm>
        <a:prstGeom prst="rect">
          <a:avLst/>
        </a:prstGeom>
        <a:noFill/>
        <a:ln w="9525">
          <a:noFill/>
          <a:miter lim="800000"/>
          <a:headEnd/>
          <a:tailEnd/>
        </a:ln>
      </xdr:spPr>
    </xdr:pic>
    <xdr:clientData/>
  </xdr:twoCellAnchor>
  <xdr:twoCellAnchor editAs="oneCell">
    <xdr:from>
      <xdr:col>3</xdr:col>
      <xdr:colOff>0</xdr:colOff>
      <xdr:row>327</xdr:row>
      <xdr:rowOff>0</xdr:rowOff>
    </xdr:from>
    <xdr:to>
      <xdr:col>3</xdr:col>
      <xdr:colOff>95250</xdr:colOff>
      <xdr:row>327</xdr:row>
      <xdr:rowOff>104775</xdr:rowOff>
    </xdr:to>
    <xdr:pic>
      <xdr:nvPicPr>
        <xdr:cNvPr id="326" name="Grafik 34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5693925"/>
          <a:ext cx="95250" cy="104775"/>
        </a:xfrm>
        <a:prstGeom prst="rect">
          <a:avLst/>
        </a:prstGeom>
        <a:noFill/>
        <a:ln w="9525">
          <a:noFill/>
          <a:miter lim="800000"/>
          <a:headEnd/>
          <a:tailEnd/>
        </a:ln>
      </xdr:spPr>
    </xdr:pic>
    <xdr:clientData/>
  </xdr:twoCellAnchor>
  <xdr:twoCellAnchor editAs="oneCell">
    <xdr:from>
      <xdr:col>3</xdr:col>
      <xdr:colOff>0</xdr:colOff>
      <xdr:row>328</xdr:row>
      <xdr:rowOff>0</xdr:rowOff>
    </xdr:from>
    <xdr:to>
      <xdr:col>3</xdr:col>
      <xdr:colOff>95250</xdr:colOff>
      <xdr:row>328</xdr:row>
      <xdr:rowOff>104775</xdr:rowOff>
    </xdr:to>
    <xdr:pic>
      <xdr:nvPicPr>
        <xdr:cNvPr id="327" name="Grafik 34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5893950"/>
          <a:ext cx="95250" cy="104775"/>
        </a:xfrm>
        <a:prstGeom prst="rect">
          <a:avLst/>
        </a:prstGeom>
        <a:noFill/>
        <a:ln w="9525">
          <a:noFill/>
          <a:miter lim="800000"/>
          <a:headEnd/>
          <a:tailEnd/>
        </a:ln>
      </xdr:spPr>
    </xdr:pic>
    <xdr:clientData/>
  </xdr:twoCellAnchor>
  <xdr:twoCellAnchor editAs="oneCell">
    <xdr:from>
      <xdr:col>3</xdr:col>
      <xdr:colOff>0</xdr:colOff>
      <xdr:row>329</xdr:row>
      <xdr:rowOff>0</xdr:rowOff>
    </xdr:from>
    <xdr:to>
      <xdr:col>3</xdr:col>
      <xdr:colOff>95250</xdr:colOff>
      <xdr:row>329</xdr:row>
      <xdr:rowOff>104775</xdr:rowOff>
    </xdr:to>
    <xdr:pic>
      <xdr:nvPicPr>
        <xdr:cNvPr id="328" name="Grafik 34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6093975"/>
          <a:ext cx="95250" cy="104775"/>
        </a:xfrm>
        <a:prstGeom prst="rect">
          <a:avLst/>
        </a:prstGeom>
        <a:noFill/>
        <a:ln w="9525">
          <a:noFill/>
          <a:miter lim="800000"/>
          <a:headEnd/>
          <a:tailEnd/>
        </a:ln>
      </xdr:spPr>
    </xdr:pic>
    <xdr:clientData/>
  </xdr:twoCellAnchor>
  <xdr:twoCellAnchor editAs="oneCell">
    <xdr:from>
      <xdr:col>3</xdr:col>
      <xdr:colOff>0</xdr:colOff>
      <xdr:row>330</xdr:row>
      <xdr:rowOff>0</xdr:rowOff>
    </xdr:from>
    <xdr:to>
      <xdr:col>3</xdr:col>
      <xdr:colOff>95250</xdr:colOff>
      <xdr:row>330</xdr:row>
      <xdr:rowOff>104775</xdr:rowOff>
    </xdr:to>
    <xdr:pic>
      <xdr:nvPicPr>
        <xdr:cNvPr id="329" name="Grafik 34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6294000"/>
          <a:ext cx="95250" cy="104775"/>
        </a:xfrm>
        <a:prstGeom prst="rect">
          <a:avLst/>
        </a:prstGeom>
        <a:noFill/>
        <a:ln w="9525">
          <a:noFill/>
          <a:miter lim="800000"/>
          <a:headEnd/>
          <a:tailEnd/>
        </a:ln>
      </xdr:spPr>
    </xdr:pic>
    <xdr:clientData/>
  </xdr:twoCellAnchor>
  <xdr:twoCellAnchor editAs="oneCell">
    <xdr:from>
      <xdr:col>3</xdr:col>
      <xdr:colOff>0</xdr:colOff>
      <xdr:row>331</xdr:row>
      <xdr:rowOff>0</xdr:rowOff>
    </xdr:from>
    <xdr:to>
      <xdr:col>3</xdr:col>
      <xdr:colOff>95250</xdr:colOff>
      <xdr:row>331</xdr:row>
      <xdr:rowOff>104775</xdr:rowOff>
    </xdr:to>
    <xdr:pic>
      <xdr:nvPicPr>
        <xdr:cNvPr id="330" name="Grafik 34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6494025"/>
          <a:ext cx="95250" cy="104775"/>
        </a:xfrm>
        <a:prstGeom prst="rect">
          <a:avLst/>
        </a:prstGeom>
        <a:noFill/>
        <a:ln w="9525">
          <a:noFill/>
          <a:miter lim="800000"/>
          <a:headEnd/>
          <a:tailEnd/>
        </a:ln>
      </xdr:spPr>
    </xdr:pic>
    <xdr:clientData/>
  </xdr:twoCellAnchor>
  <xdr:twoCellAnchor editAs="oneCell">
    <xdr:from>
      <xdr:col>3</xdr:col>
      <xdr:colOff>0</xdr:colOff>
      <xdr:row>332</xdr:row>
      <xdr:rowOff>0</xdr:rowOff>
    </xdr:from>
    <xdr:to>
      <xdr:col>3</xdr:col>
      <xdr:colOff>95250</xdr:colOff>
      <xdr:row>332</xdr:row>
      <xdr:rowOff>104775</xdr:rowOff>
    </xdr:to>
    <xdr:pic>
      <xdr:nvPicPr>
        <xdr:cNvPr id="331" name="Grafik 34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6694050"/>
          <a:ext cx="95250" cy="104775"/>
        </a:xfrm>
        <a:prstGeom prst="rect">
          <a:avLst/>
        </a:prstGeom>
        <a:noFill/>
        <a:ln w="9525">
          <a:noFill/>
          <a:miter lim="800000"/>
          <a:headEnd/>
          <a:tailEnd/>
        </a:ln>
      </xdr:spPr>
    </xdr:pic>
    <xdr:clientData/>
  </xdr:twoCellAnchor>
  <xdr:twoCellAnchor editAs="oneCell">
    <xdr:from>
      <xdr:col>3</xdr:col>
      <xdr:colOff>0</xdr:colOff>
      <xdr:row>333</xdr:row>
      <xdr:rowOff>0</xdr:rowOff>
    </xdr:from>
    <xdr:to>
      <xdr:col>3</xdr:col>
      <xdr:colOff>95250</xdr:colOff>
      <xdr:row>333</xdr:row>
      <xdr:rowOff>104775</xdr:rowOff>
    </xdr:to>
    <xdr:pic>
      <xdr:nvPicPr>
        <xdr:cNvPr id="332" name="Grafik 34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6894075"/>
          <a:ext cx="95250" cy="104775"/>
        </a:xfrm>
        <a:prstGeom prst="rect">
          <a:avLst/>
        </a:prstGeom>
        <a:noFill/>
        <a:ln w="9525">
          <a:noFill/>
          <a:miter lim="800000"/>
          <a:headEnd/>
          <a:tailEnd/>
        </a:ln>
      </xdr:spPr>
    </xdr:pic>
    <xdr:clientData/>
  </xdr:twoCellAnchor>
  <xdr:twoCellAnchor editAs="oneCell">
    <xdr:from>
      <xdr:col>3</xdr:col>
      <xdr:colOff>0</xdr:colOff>
      <xdr:row>334</xdr:row>
      <xdr:rowOff>0</xdr:rowOff>
    </xdr:from>
    <xdr:to>
      <xdr:col>3</xdr:col>
      <xdr:colOff>95250</xdr:colOff>
      <xdr:row>334</xdr:row>
      <xdr:rowOff>104775</xdr:rowOff>
    </xdr:to>
    <xdr:pic>
      <xdr:nvPicPr>
        <xdr:cNvPr id="333" name="Grafik 34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7094100"/>
          <a:ext cx="95250" cy="104775"/>
        </a:xfrm>
        <a:prstGeom prst="rect">
          <a:avLst/>
        </a:prstGeom>
        <a:noFill/>
        <a:ln w="9525">
          <a:noFill/>
          <a:miter lim="800000"/>
          <a:headEnd/>
          <a:tailEnd/>
        </a:ln>
      </xdr:spPr>
    </xdr:pic>
    <xdr:clientData/>
  </xdr:twoCellAnchor>
  <xdr:twoCellAnchor editAs="oneCell">
    <xdr:from>
      <xdr:col>3</xdr:col>
      <xdr:colOff>0</xdr:colOff>
      <xdr:row>335</xdr:row>
      <xdr:rowOff>0</xdr:rowOff>
    </xdr:from>
    <xdr:to>
      <xdr:col>3</xdr:col>
      <xdr:colOff>95250</xdr:colOff>
      <xdr:row>335</xdr:row>
      <xdr:rowOff>104775</xdr:rowOff>
    </xdr:to>
    <xdr:pic>
      <xdr:nvPicPr>
        <xdr:cNvPr id="334" name="Grafik 34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7294125"/>
          <a:ext cx="95250" cy="104775"/>
        </a:xfrm>
        <a:prstGeom prst="rect">
          <a:avLst/>
        </a:prstGeom>
        <a:noFill/>
        <a:ln w="9525">
          <a:noFill/>
          <a:miter lim="800000"/>
          <a:headEnd/>
          <a:tailEnd/>
        </a:ln>
      </xdr:spPr>
    </xdr:pic>
    <xdr:clientData/>
  </xdr:twoCellAnchor>
  <xdr:twoCellAnchor editAs="oneCell">
    <xdr:from>
      <xdr:col>3</xdr:col>
      <xdr:colOff>0</xdr:colOff>
      <xdr:row>336</xdr:row>
      <xdr:rowOff>0</xdr:rowOff>
    </xdr:from>
    <xdr:to>
      <xdr:col>3</xdr:col>
      <xdr:colOff>95250</xdr:colOff>
      <xdr:row>336</xdr:row>
      <xdr:rowOff>104775</xdr:rowOff>
    </xdr:to>
    <xdr:pic>
      <xdr:nvPicPr>
        <xdr:cNvPr id="335" name="Grafik 34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7494150"/>
          <a:ext cx="95250" cy="104775"/>
        </a:xfrm>
        <a:prstGeom prst="rect">
          <a:avLst/>
        </a:prstGeom>
        <a:noFill/>
        <a:ln w="9525">
          <a:noFill/>
          <a:miter lim="800000"/>
          <a:headEnd/>
          <a:tailEnd/>
        </a:ln>
      </xdr:spPr>
    </xdr:pic>
    <xdr:clientData/>
  </xdr:twoCellAnchor>
  <xdr:twoCellAnchor editAs="oneCell">
    <xdr:from>
      <xdr:col>3</xdr:col>
      <xdr:colOff>0</xdr:colOff>
      <xdr:row>337</xdr:row>
      <xdr:rowOff>0</xdr:rowOff>
    </xdr:from>
    <xdr:to>
      <xdr:col>3</xdr:col>
      <xdr:colOff>95250</xdr:colOff>
      <xdr:row>337</xdr:row>
      <xdr:rowOff>104775</xdr:rowOff>
    </xdr:to>
    <xdr:pic>
      <xdr:nvPicPr>
        <xdr:cNvPr id="336" name="Grafik 35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7694175"/>
          <a:ext cx="95250" cy="104775"/>
        </a:xfrm>
        <a:prstGeom prst="rect">
          <a:avLst/>
        </a:prstGeom>
        <a:noFill/>
        <a:ln w="9525">
          <a:noFill/>
          <a:miter lim="800000"/>
          <a:headEnd/>
          <a:tailEnd/>
        </a:ln>
      </xdr:spPr>
    </xdr:pic>
    <xdr:clientData/>
  </xdr:twoCellAnchor>
  <xdr:twoCellAnchor editAs="oneCell">
    <xdr:from>
      <xdr:col>3</xdr:col>
      <xdr:colOff>0</xdr:colOff>
      <xdr:row>338</xdr:row>
      <xdr:rowOff>0</xdr:rowOff>
    </xdr:from>
    <xdr:to>
      <xdr:col>3</xdr:col>
      <xdr:colOff>95250</xdr:colOff>
      <xdr:row>338</xdr:row>
      <xdr:rowOff>104775</xdr:rowOff>
    </xdr:to>
    <xdr:pic>
      <xdr:nvPicPr>
        <xdr:cNvPr id="337" name="Grafik 35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7894200"/>
          <a:ext cx="95250" cy="104775"/>
        </a:xfrm>
        <a:prstGeom prst="rect">
          <a:avLst/>
        </a:prstGeom>
        <a:noFill/>
        <a:ln w="9525">
          <a:noFill/>
          <a:miter lim="800000"/>
          <a:headEnd/>
          <a:tailEnd/>
        </a:ln>
      </xdr:spPr>
    </xdr:pic>
    <xdr:clientData/>
  </xdr:twoCellAnchor>
  <xdr:twoCellAnchor editAs="oneCell">
    <xdr:from>
      <xdr:col>3</xdr:col>
      <xdr:colOff>0</xdr:colOff>
      <xdr:row>339</xdr:row>
      <xdr:rowOff>0</xdr:rowOff>
    </xdr:from>
    <xdr:to>
      <xdr:col>3</xdr:col>
      <xdr:colOff>95250</xdr:colOff>
      <xdr:row>339</xdr:row>
      <xdr:rowOff>104775</xdr:rowOff>
    </xdr:to>
    <xdr:pic>
      <xdr:nvPicPr>
        <xdr:cNvPr id="338" name="Grafik 352"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8094225"/>
          <a:ext cx="95250" cy="104775"/>
        </a:xfrm>
        <a:prstGeom prst="rect">
          <a:avLst/>
        </a:prstGeom>
        <a:noFill/>
        <a:ln w="9525">
          <a:noFill/>
          <a:miter lim="800000"/>
          <a:headEnd/>
          <a:tailEnd/>
        </a:ln>
      </xdr:spPr>
    </xdr:pic>
    <xdr:clientData/>
  </xdr:twoCellAnchor>
  <xdr:twoCellAnchor editAs="oneCell">
    <xdr:from>
      <xdr:col>3</xdr:col>
      <xdr:colOff>0</xdr:colOff>
      <xdr:row>340</xdr:row>
      <xdr:rowOff>0</xdr:rowOff>
    </xdr:from>
    <xdr:to>
      <xdr:col>3</xdr:col>
      <xdr:colOff>95250</xdr:colOff>
      <xdr:row>340</xdr:row>
      <xdr:rowOff>104775</xdr:rowOff>
    </xdr:to>
    <xdr:pic>
      <xdr:nvPicPr>
        <xdr:cNvPr id="339" name="Grafik 353"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8294250"/>
          <a:ext cx="95250" cy="104775"/>
        </a:xfrm>
        <a:prstGeom prst="rect">
          <a:avLst/>
        </a:prstGeom>
        <a:noFill/>
        <a:ln w="9525">
          <a:noFill/>
          <a:miter lim="800000"/>
          <a:headEnd/>
          <a:tailEnd/>
        </a:ln>
      </xdr:spPr>
    </xdr:pic>
    <xdr:clientData/>
  </xdr:twoCellAnchor>
  <xdr:twoCellAnchor editAs="oneCell">
    <xdr:from>
      <xdr:col>3</xdr:col>
      <xdr:colOff>0</xdr:colOff>
      <xdr:row>341</xdr:row>
      <xdr:rowOff>0</xdr:rowOff>
    </xdr:from>
    <xdr:to>
      <xdr:col>3</xdr:col>
      <xdr:colOff>95250</xdr:colOff>
      <xdr:row>341</xdr:row>
      <xdr:rowOff>104775</xdr:rowOff>
    </xdr:to>
    <xdr:pic>
      <xdr:nvPicPr>
        <xdr:cNvPr id="340" name="Grafik 354"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8494275"/>
          <a:ext cx="95250" cy="104775"/>
        </a:xfrm>
        <a:prstGeom prst="rect">
          <a:avLst/>
        </a:prstGeom>
        <a:noFill/>
        <a:ln w="9525">
          <a:noFill/>
          <a:miter lim="800000"/>
          <a:headEnd/>
          <a:tailEnd/>
        </a:ln>
      </xdr:spPr>
    </xdr:pic>
    <xdr:clientData/>
  </xdr:twoCellAnchor>
  <xdr:twoCellAnchor editAs="oneCell">
    <xdr:from>
      <xdr:col>3</xdr:col>
      <xdr:colOff>0</xdr:colOff>
      <xdr:row>342</xdr:row>
      <xdr:rowOff>0</xdr:rowOff>
    </xdr:from>
    <xdr:to>
      <xdr:col>3</xdr:col>
      <xdr:colOff>95250</xdr:colOff>
      <xdr:row>342</xdr:row>
      <xdr:rowOff>104775</xdr:rowOff>
    </xdr:to>
    <xdr:pic>
      <xdr:nvPicPr>
        <xdr:cNvPr id="341" name="Grafik 355"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8694300"/>
          <a:ext cx="95250" cy="104775"/>
        </a:xfrm>
        <a:prstGeom prst="rect">
          <a:avLst/>
        </a:prstGeom>
        <a:noFill/>
        <a:ln w="9525">
          <a:noFill/>
          <a:miter lim="800000"/>
          <a:headEnd/>
          <a:tailEnd/>
        </a:ln>
      </xdr:spPr>
    </xdr:pic>
    <xdr:clientData/>
  </xdr:twoCellAnchor>
  <xdr:twoCellAnchor editAs="oneCell">
    <xdr:from>
      <xdr:col>3</xdr:col>
      <xdr:colOff>0</xdr:colOff>
      <xdr:row>343</xdr:row>
      <xdr:rowOff>0</xdr:rowOff>
    </xdr:from>
    <xdr:to>
      <xdr:col>3</xdr:col>
      <xdr:colOff>95250</xdr:colOff>
      <xdr:row>343</xdr:row>
      <xdr:rowOff>104775</xdr:rowOff>
    </xdr:to>
    <xdr:pic>
      <xdr:nvPicPr>
        <xdr:cNvPr id="342" name="Grafik 356"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8894325"/>
          <a:ext cx="95250" cy="104775"/>
        </a:xfrm>
        <a:prstGeom prst="rect">
          <a:avLst/>
        </a:prstGeom>
        <a:noFill/>
        <a:ln w="9525">
          <a:noFill/>
          <a:miter lim="800000"/>
          <a:headEnd/>
          <a:tailEnd/>
        </a:ln>
      </xdr:spPr>
    </xdr:pic>
    <xdr:clientData/>
  </xdr:twoCellAnchor>
  <xdr:twoCellAnchor editAs="oneCell">
    <xdr:from>
      <xdr:col>3</xdr:col>
      <xdr:colOff>0</xdr:colOff>
      <xdr:row>344</xdr:row>
      <xdr:rowOff>0</xdr:rowOff>
    </xdr:from>
    <xdr:to>
      <xdr:col>3</xdr:col>
      <xdr:colOff>95250</xdr:colOff>
      <xdr:row>344</xdr:row>
      <xdr:rowOff>104775</xdr:rowOff>
    </xdr:to>
    <xdr:pic>
      <xdr:nvPicPr>
        <xdr:cNvPr id="343" name="Grafik 357"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9094350"/>
          <a:ext cx="95250" cy="104775"/>
        </a:xfrm>
        <a:prstGeom prst="rect">
          <a:avLst/>
        </a:prstGeom>
        <a:noFill/>
        <a:ln w="9525">
          <a:noFill/>
          <a:miter lim="800000"/>
          <a:headEnd/>
          <a:tailEnd/>
        </a:ln>
      </xdr:spPr>
    </xdr:pic>
    <xdr:clientData/>
  </xdr:twoCellAnchor>
  <xdr:twoCellAnchor editAs="oneCell">
    <xdr:from>
      <xdr:col>3</xdr:col>
      <xdr:colOff>0</xdr:colOff>
      <xdr:row>345</xdr:row>
      <xdr:rowOff>0</xdr:rowOff>
    </xdr:from>
    <xdr:to>
      <xdr:col>3</xdr:col>
      <xdr:colOff>95250</xdr:colOff>
      <xdr:row>345</xdr:row>
      <xdr:rowOff>104775</xdr:rowOff>
    </xdr:to>
    <xdr:pic>
      <xdr:nvPicPr>
        <xdr:cNvPr id="344" name="Grafik 358"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9294375"/>
          <a:ext cx="95250" cy="104775"/>
        </a:xfrm>
        <a:prstGeom prst="rect">
          <a:avLst/>
        </a:prstGeom>
        <a:noFill/>
        <a:ln w="9525">
          <a:noFill/>
          <a:miter lim="800000"/>
          <a:headEnd/>
          <a:tailEnd/>
        </a:ln>
      </xdr:spPr>
    </xdr:pic>
    <xdr:clientData/>
  </xdr:twoCellAnchor>
  <xdr:twoCellAnchor editAs="oneCell">
    <xdr:from>
      <xdr:col>3</xdr:col>
      <xdr:colOff>0</xdr:colOff>
      <xdr:row>346</xdr:row>
      <xdr:rowOff>0</xdr:rowOff>
    </xdr:from>
    <xdr:to>
      <xdr:col>3</xdr:col>
      <xdr:colOff>95250</xdr:colOff>
      <xdr:row>346</xdr:row>
      <xdr:rowOff>104775</xdr:rowOff>
    </xdr:to>
    <xdr:pic>
      <xdr:nvPicPr>
        <xdr:cNvPr id="345" name="Grafik 359"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9494400"/>
          <a:ext cx="95250" cy="104775"/>
        </a:xfrm>
        <a:prstGeom prst="rect">
          <a:avLst/>
        </a:prstGeom>
        <a:noFill/>
        <a:ln w="9525">
          <a:noFill/>
          <a:miter lim="800000"/>
          <a:headEnd/>
          <a:tailEnd/>
        </a:ln>
      </xdr:spPr>
    </xdr:pic>
    <xdr:clientData/>
  </xdr:twoCellAnchor>
  <xdr:twoCellAnchor editAs="oneCell">
    <xdr:from>
      <xdr:col>3</xdr:col>
      <xdr:colOff>0</xdr:colOff>
      <xdr:row>347</xdr:row>
      <xdr:rowOff>0</xdr:rowOff>
    </xdr:from>
    <xdr:to>
      <xdr:col>3</xdr:col>
      <xdr:colOff>95250</xdr:colOff>
      <xdr:row>347</xdr:row>
      <xdr:rowOff>104775</xdr:rowOff>
    </xdr:to>
    <xdr:pic>
      <xdr:nvPicPr>
        <xdr:cNvPr id="346" name="Grafik 360"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9694425"/>
          <a:ext cx="95250" cy="104775"/>
        </a:xfrm>
        <a:prstGeom prst="rect">
          <a:avLst/>
        </a:prstGeom>
        <a:noFill/>
        <a:ln w="9525">
          <a:noFill/>
          <a:miter lim="800000"/>
          <a:headEnd/>
          <a:tailEnd/>
        </a:ln>
      </xdr:spPr>
    </xdr:pic>
    <xdr:clientData/>
  </xdr:twoCellAnchor>
  <xdr:twoCellAnchor editAs="oneCell">
    <xdr:from>
      <xdr:col>3</xdr:col>
      <xdr:colOff>0</xdr:colOff>
      <xdr:row>348</xdr:row>
      <xdr:rowOff>0</xdr:rowOff>
    </xdr:from>
    <xdr:to>
      <xdr:col>3</xdr:col>
      <xdr:colOff>95250</xdr:colOff>
      <xdr:row>348</xdr:row>
      <xdr:rowOff>104775</xdr:rowOff>
    </xdr:to>
    <xdr:pic>
      <xdr:nvPicPr>
        <xdr:cNvPr id="347" name="Grafik 361"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69894450"/>
          <a:ext cx="95250" cy="104775"/>
        </a:xfrm>
        <a:prstGeom prst="rect">
          <a:avLst/>
        </a:prstGeom>
        <a:noFill/>
        <a:ln w="9525">
          <a:noFill/>
          <a:miter lim="800000"/>
          <a:headEnd/>
          <a:tailEnd/>
        </a:ln>
      </xdr:spPr>
    </xdr:pic>
    <xdr:clientData/>
  </xdr:twoCellAnchor>
  <xdr:twoCellAnchor editAs="oneCell">
    <xdr:from>
      <xdr:col>3</xdr:col>
      <xdr:colOff>0</xdr:colOff>
      <xdr:row>350</xdr:row>
      <xdr:rowOff>0</xdr:rowOff>
    </xdr:from>
    <xdr:to>
      <xdr:col>3</xdr:col>
      <xdr:colOff>95250</xdr:colOff>
      <xdr:row>350</xdr:row>
      <xdr:rowOff>104775</xdr:rowOff>
    </xdr:to>
    <xdr:pic>
      <xdr:nvPicPr>
        <xdr:cNvPr id="348" name="Grafik 362"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0294500"/>
          <a:ext cx="95250" cy="104775"/>
        </a:xfrm>
        <a:prstGeom prst="rect">
          <a:avLst/>
        </a:prstGeom>
        <a:noFill/>
        <a:ln w="9525">
          <a:noFill/>
          <a:miter lim="800000"/>
          <a:headEnd/>
          <a:tailEnd/>
        </a:ln>
      </xdr:spPr>
    </xdr:pic>
    <xdr:clientData/>
  </xdr:twoCellAnchor>
  <xdr:twoCellAnchor editAs="oneCell">
    <xdr:from>
      <xdr:col>3</xdr:col>
      <xdr:colOff>0</xdr:colOff>
      <xdr:row>351</xdr:row>
      <xdr:rowOff>0</xdr:rowOff>
    </xdr:from>
    <xdr:to>
      <xdr:col>3</xdr:col>
      <xdr:colOff>95250</xdr:colOff>
      <xdr:row>351</xdr:row>
      <xdr:rowOff>104775</xdr:rowOff>
    </xdr:to>
    <xdr:pic>
      <xdr:nvPicPr>
        <xdr:cNvPr id="349" name="Grafik 363"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0494525"/>
          <a:ext cx="95250" cy="104775"/>
        </a:xfrm>
        <a:prstGeom prst="rect">
          <a:avLst/>
        </a:prstGeom>
        <a:noFill/>
        <a:ln w="9525">
          <a:noFill/>
          <a:miter lim="800000"/>
          <a:headEnd/>
          <a:tailEnd/>
        </a:ln>
      </xdr:spPr>
    </xdr:pic>
    <xdr:clientData/>
  </xdr:twoCellAnchor>
  <xdr:twoCellAnchor editAs="oneCell">
    <xdr:from>
      <xdr:col>3</xdr:col>
      <xdr:colOff>0</xdr:colOff>
      <xdr:row>352</xdr:row>
      <xdr:rowOff>0</xdr:rowOff>
    </xdr:from>
    <xdr:to>
      <xdr:col>3</xdr:col>
      <xdr:colOff>95250</xdr:colOff>
      <xdr:row>352</xdr:row>
      <xdr:rowOff>104775</xdr:rowOff>
    </xdr:to>
    <xdr:pic>
      <xdr:nvPicPr>
        <xdr:cNvPr id="350" name="Grafik 364"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0694550"/>
          <a:ext cx="95250" cy="104775"/>
        </a:xfrm>
        <a:prstGeom prst="rect">
          <a:avLst/>
        </a:prstGeom>
        <a:noFill/>
        <a:ln w="9525">
          <a:noFill/>
          <a:miter lim="800000"/>
          <a:headEnd/>
          <a:tailEnd/>
        </a:ln>
      </xdr:spPr>
    </xdr:pic>
    <xdr:clientData/>
  </xdr:twoCellAnchor>
  <xdr:twoCellAnchor editAs="oneCell">
    <xdr:from>
      <xdr:col>3</xdr:col>
      <xdr:colOff>0</xdr:colOff>
      <xdr:row>353</xdr:row>
      <xdr:rowOff>0</xdr:rowOff>
    </xdr:from>
    <xdr:to>
      <xdr:col>3</xdr:col>
      <xdr:colOff>95250</xdr:colOff>
      <xdr:row>353</xdr:row>
      <xdr:rowOff>104775</xdr:rowOff>
    </xdr:to>
    <xdr:pic>
      <xdr:nvPicPr>
        <xdr:cNvPr id="351" name="Grafik 365"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0894575"/>
          <a:ext cx="95250" cy="104775"/>
        </a:xfrm>
        <a:prstGeom prst="rect">
          <a:avLst/>
        </a:prstGeom>
        <a:noFill/>
        <a:ln w="9525">
          <a:noFill/>
          <a:miter lim="800000"/>
          <a:headEnd/>
          <a:tailEnd/>
        </a:ln>
      </xdr:spPr>
    </xdr:pic>
    <xdr:clientData/>
  </xdr:twoCellAnchor>
  <xdr:twoCellAnchor editAs="oneCell">
    <xdr:from>
      <xdr:col>3</xdr:col>
      <xdr:colOff>0</xdr:colOff>
      <xdr:row>354</xdr:row>
      <xdr:rowOff>0</xdr:rowOff>
    </xdr:from>
    <xdr:to>
      <xdr:col>3</xdr:col>
      <xdr:colOff>95250</xdr:colOff>
      <xdr:row>354</xdr:row>
      <xdr:rowOff>104775</xdr:rowOff>
    </xdr:to>
    <xdr:pic>
      <xdr:nvPicPr>
        <xdr:cNvPr id="352" name="Grafik 366"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1094600"/>
          <a:ext cx="95250" cy="104775"/>
        </a:xfrm>
        <a:prstGeom prst="rect">
          <a:avLst/>
        </a:prstGeom>
        <a:noFill/>
        <a:ln w="9525">
          <a:noFill/>
          <a:miter lim="800000"/>
          <a:headEnd/>
          <a:tailEnd/>
        </a:ln>
      </xdr:spPr>
    </xdr:pic>
    <xdr:clientData/>
  </xdr:twoCellAnchor>
  <xdr:twoCellAnchor editAs="oneCell">
    <xdr:from>
      <xdr:col>3</xdr:col>
      <xdr:colOff>0</xdr:colOff>
      <xdr:row>355</xdr:row>
      <xdr:rowOff>0</xdr:rowOff>
    </xdr:from>
    <xdr:to>
      <xdr:col>3</xdr:col>
      <xdr:colOff>95250</xdr:colOff>
      <xdr:row>355</xdr:row>
      <xdr:rowOff>104775</xdr:rowOff>
    </xdr:to>
    <xdr:pic>
      <xdr:nvPicPr>
        <xdr:cNvPr id="353" name="Grafik 367"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1294625"/>
          <a:ext cx="95250" cy="104775"/>
        </a:xfrm>
        <a:prstGeom prst="rect">
          <a:avLst/>
        </a:prstGeom>
        <a:noFill/>
        <a:ln w="9525">
          <a:noFill/>
          <a:miter lim="800000"/>
          <a:headEnd/>
          <a:tailEnd/>
        </a:ln>
      </xdr:spPr>
    </xdr:pic>
    <xdr:clientData/>
  </xdr:twoCellAnchor>
  <xdr:twoCellAnchor editAs="oneCell">
    <xdr:from>
      <xdr:col>3</xdr:col>
      <xdr:colOff>0</xdr:colOff>
      <xdr:row>356</xdr:row>
      <xdr:rowOff>0</xdr:rowOff>
    </xdr:from>
    <xdr:to>
      <xdr:col>3</xdr:col>
      <xdr:colOff>95250</xdr:colOff>
      <xdr:row>356</xdr:row>
      <xdr:rowOff>104775</xdr:rowOff>
    </xdr:to>
    <xdr:pic>
      <xdr:nvPicPr>
        <xdr:cNvPr id="354" name="Grafik 368"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1494650"/>
          <a:ext cx="95250" cy="104775"/>
        </a:xfrm>
        <a:prstGeom prst="rect">
          <a:avLst/>
        </a:prstGeom>
        <a:noFill/>
        <a:ln w="9525">
          <a:noFill/>
          <a:miter lim="800000"/>
          <a:headEnd/>
          <a:tailEnd/>
        </a:ln>
      </xdr:spPr>
    </xdr:pic>
    <xdr:clientData/>
  </xdr:twoCellAnchor>
  <xdr:twoCellAnchor editAs="oneCell">
    <xdr:from>
      <xdr:col>3</xdr:col>
      <xdr:colOff>0</xdr:colOff>
      <xdr:row>357</xdr:row>
      <xdr:rowOff>0</xdr:rowOff>
    </xdr:from>
    <xdr:to>
      <xdr:col>3</xdr:col>
      <xdr:colOff>95250</xdr:colOff>
      <xdr:row>357</xdr:row>
      <xdr:rowOff>104775</xdr:rowOff>
    </xdr:to>
    <xdr:pic>
      <xdr:nvPicPr>
        <xdr:cNvPr id="355" name="Grafik 369"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1694675"/>
          <a:ext cx="95250" cy="104775"/>
        </a:xfrm>
        <a:prstGeom prst="rect">
          <a:avLst/>
        </a:prstGeom>
        <a:noFill/>
        <a:ln w="9525">
          <a:noFill/>
          <a:miter lim="800000"/>
          <a:headEnd/>
          <a:tailEnd/>
        </a:ln>
      </xdr:spPr>
    </xdr:pic>
    <xdr:clientData/>
  </xdr:twoCellAnchor>
  <xdr:twoCellAnchor editAs="oneCell">
    <xdr:from>
      <xdr:col>3</xdr:col>
      <xdr:colOff>0</xdr:colOff>
      <xdr:row>358</xdr:row>
      <xdr:rowOff>0</xdr:rowOff>
    </xdr:from>
    <xdr:to>
      <xdr:col>3</xdr:col>
      <xdr:colOff>95250</xdr:colOff>
      <xdr:row>358</xdr:row>
      <xdr:rowOff>104775</xdr:rowOff>
    </xdr:to>
    <xdr:pic>
      <xdr:nvPicPr>
        <xdr:cNvPr id="356" name="Grafik 370"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1894700"/>
          <a:ext cx="95250" cy="104775"/>
        </a:xfrm>
        <a:prstGeom prst="rect">
          <a:avLst/>
        </a:prstGeom>
        <a:noFill/>
        <a:ln w="9525">
          <a:noFill/>
          <a:miter lim="800000"/>
          <a:headEnd/>
          <a:tailEnd/>
        </a:ln>
      </xdr:spPr>
    </xdr:pic>
    <xdr:clientData/>
  </xdr:twoCellAnchor>
  <xdr:twoCellAnchor editAs="oneCell">
    <xdr:from>
      <xdr:col>3</xdr:col>
      <xdr:colOff>0</xdr:colOff>
      <xdr:row>359</xdr:row>
      <xdr:rowOff>0</xdr:rowOff>
    </xdr:from>
    <xdr:to>
      <xdr:col>3</xdr:col>
      <xdr:colOff>95250</xdr:colOff>
      <xdr:row>359</xdr:row>
      <xdr:rowOff>104775</xdr:rowOff>
    </xdr:to>
    <xdr:pic>
      <xdr:nvPicPr>
        <xdr:cNvPr id="357" name="Grafik 371"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2094725"/>
          <a:ext cx="95250" cy="104775"/>
        </a:xfrm>
        <a:prstGeom prst="rect">
          <a:avLst/>
        </a:prstGeom>
        <a:noFill/>
        <a:ln w="9525">
          <a:noFill/>
          <a:miter lim="800000"/>
          <a:headEnd/>
          <a:tailEnd/>
        </a:ln>
      </xdr:spPr>
    </xdr:pic>
    <xdr:clientData/>
  </xdr:twoCellAnchor>
  <xdr:twoCellAnchor editAs="oneCell">
    <xdr:from>
      <xdr:col>3</xdr:col>
      <xdr:colOff>0</xdr:colOff>
      <xdr:row>360</xdr:row>
      <xdr:rowOff>0</xdr:rowOff>
    </xdr:from>
    <xdr:to>
      <xdr:col>3</xdr:col>
      <xdr:colOff>95250</xdr:colOff>
      <xdr:row>360</xdr:row>
      <xdr:rowOff>104775</xdr:rowOff>
    </xdr:to>
    <xdr:pic>
      <xdr:nvPicPr>
        <xdr:cNvPr id="358" name="Grafik 372"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2294750"/>
          <a:ext cx="95250" cy="104775"/>
        </a:xfrm>
        <a:prstGeom prst="rect">
          <a:avLst/>
        </a:prstGeom>
        <a:noFill/>
        <a:ln w="9525">
          <a:noFill/>
          <a:miter lim="800000"/>
          <a:headEnd/>
          <a:tailEnd/>
        </a:ln>
      </xdr:spPr>
    </xdr:pic>
    <xdr:clientData/>
  </xdr:twoCellAnchor>
  <xdr:twoCellAnchor editAs="oneCell">
    <xdr:from>
      <xdr:col>3</xdr:col>
      <xdr:colOff>0</xdr:colOff>
      <xdr:row>361</xdr:row>
      <xdr:rowOff>0</xdr:rowOff>
    </xdr:from>
    <xdr:to>
      <xdr:col>3</xdr:col>
      <xdr:colOff>95250</xdr:colOff>
      <xdr:row>361</xdr:row>
      <xdr:rowOff>104775</xdr:rowOff>
    </xdr:to>
    <xdr:pic>
      <xdr:nvPicPr>
        <xdr:cNvPr id="359" name="Grafik 373"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2494775"/>
          <a:ext cx="95250" cy="104775"/>
        </a:xfrm>
        <a:prstGeom prst="rect">
          <a:avLst/>
        </a:prstGeom>
        <a:noFill/>
        <a:ln w="9525">
          <a:noFill/>
          <a:miter lim="800000"/>
          <a:headEnd/>
          <a:tailEnd/>
        </a:ln>
      </xdr:spPr>
    </xdr:pic>
    <xdr:clientData/>
  </xdr:twoCellAnchor>
  <xdr:twoCellAnchor editAs="oneCell">
    <xdr:from>
      <xdr:col>3</xdr:col>
      <xdr:colOff>0</xdr:colOff>
      <xdr:row>362</xdr:row>
      <xdr:rowOff>0</xdr:rowOff>
    </xdr:from>
    <xdr:to>
      <xdr:col>3</xdr:col>
      <xdr:colOff>95250</xdr:colOff>
      <xdr:row>362</xdr:row>
      <xdr:rowOff>104775</xdr:rowOff>
    </xdr:to>
    <xdr:pic>
      <xdr:nvPicPr>
        <xdr:cNvPr id="360" name="Grafik 374"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2694800"/>
          <a:ext cx="95250" cy="104775"/>
        </a:xfrm>
        <a:prstGeom prst="rect">
          <a:avLst/>
        </a:prstGeom>
        <a:noFill/>
        <a:ln w="9525">
          <a:noFill/>
          <a:miter lim="800000"/>
          <a:headEnd/>
          <a:tailEnd/>
        </a:ln>
      </xdr:spPr>
    </xdr:pic>
    <xdr:clientData/>
  </xdr:twoCellAnchor>
  <xdr:twoCellAnchor editAs="oneCell">
    <xdr:from>
      <xdr:col>3</xdr:col>
      <xdr:colOff>0</xdr:colOff>
      <xdr:row>363</xdr:row>
      <xdr:rowOff>0</xdr:rowOff>
    </xdr:from>
    <xdr:to>
      <xdr:col>3</xdr:col>
      <xdr:colOff>95250</xdr:colOff>
      <xdr:row>363</xdr:row>
      <xdr:rowOff>104775</xdr:rowOff>
    </xdr:to>
    <xdr:pic>
      <xdr:nvPicPr>
        <xdr:cNvPr id="361" name="Grafik 375"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2894825"/>
          <a:ext cx="95250" cy="104775"/>
        </a:xfrm>
        <a:prstGeom prst="rect">
          <a:avLst/>
        </a:prstGeom>
        <a:noFill/>
        <a:ln w="9525">
          <a:noFill/>
          <a:miter lim="800000"/>
          <a:headEnd/>
          <a:tailEnd/>
        </a:ln>
      </xdr:spPr>
    </xdr:pic>
    <xdr:clientData/>
  </xdr:twoCellAnchor>
  <xdr:twoCellAnchor editAs="oneCell">
    <xdr:from>
      <xdr:col>3</xdr:col>
      <xdr:colOff>0</xdr:colOff>
      <xdr:row>364</xdr:row>
      <xdr:rowOff>0</xdr:rowOff>
    </xdr:from>
    <xdr:to>
      <xdr:col>3</xdr:col>
      <xdr:colOff>95250</xdr:colOff>
      <xdr:row>364</xdr:row>
      <xdr:rowOff>104775</xdr:rowOff>
    </xdr:to>
    <xdr:pic>
      <xdr:nvPicPr>
        <xdr:cNvPr id="362" name="Grafik 376"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3094850"/>
          <a:ext cx="95250" cy="104775"/>
        </a:xfrm>
        <a:prstGeom prst="rect">
          <a:avLst/>
        </a:prstGeom>
        <a:noFill/>
        <a:ln w="9525">
          <a:noFill/>
          <a:miter lim="800000"/>
          <a:headEnd/>
          <a:tailEnd/>
        </a:ln>
      </xdr:spPr>
    </xdr:pic>
    <xdr:clientData/>
  </xdr:twoCellAnchor>
  <xdr:twoCellAnchor editAs="oneCell">
    <xdr:from>
      <xdr:col>3</xdr:col>
      <xdr:colOff>0</xdr:colOff>
      <xdr:row>365</xdr:row>
      <xdr:rowOff>0</xdr:rowOff>
    </xdr:from>
    <xdr:to>
      <xdr:col>3</xdr:col>
      <xdr:colOff>95250</xdr:colOff>
      <xdr:row>365</xdr:row>
      <xdr:rowOff>104775</xdr:rowOff>
    </xdr:to>
    <xdr:pic>
      <xdr:nvPicPr>
        <xdr:cNvPr id="363" name="Grafik 377"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3294875"/>
          <a:ext cx="95250" cy="104775"/>
        </a:xfrm>
        <a:prstGeom prst="rect">
          <a:avLst/>
        </a:prstGeom>
        <a:noFill/>
        <a:ln w="9525">
          <a:noFill/>
          <a:miter lim="800000"/>
          <a:headEnd/>
          <a:tailEnd/>
        </a:ln>
      </xdr:spPr>
    </xdr:pic>
    <xdr:clientData/>
  </xdr:twoCellAnchor>
  <xdr:twoCellAnchor editAs="oneCell">
    <xdr:from>
      <xdr:col>3</xdr:col>
      <xdr:colOff>0</xdr:colOff>
      <xdr:row>366</xdr:row>
      <xdr:rowOff>0</xdr:rowOff>
    </xdr:from>
    <xdr:to>
      <xdr:col>3</xdr:col>
      <xdr:colOff>95250</xdr:colOff>
      <xdr:row>366</xdr:row>
      <xdr:rowOff>104775</xdr:rowOff>
    </xdr:to>
    <xdr:pic>
      <xdr:nvPicPr>
        <xdr:cNvPr id="364" name="Grafik 378"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3494900"/>
          <a:ext cx="95250" cy="104775"/>
        </a:xfrm>
        <a:prstGeom prst="rect">
          <a:avLst/>
        </a:prstGeom>
        <a:noFill/>
        <a:ln w="9525">
          <a:noFill/>
          <a:miter lim="800000"/>
          <a:headEnd/>
          <a:tailEnd/>
        </a:ln>
      </xdr:spPr>
    </xdr:pic>
    <xdr:clientData/>
  </xdr:twoCellAnchor>
  <xdr:twoCellAnchor editAs="oneCell">
    <xdr:from>
      <xdr:col>3</xdr:col>
      <xdr:colOff>0</xdr:colOff>
      <xdr:row>367</xdr:row>
      <xdr:rowOff>0</xdr:rowOff>
    </xdr:from>
    <xdr:to>
      <xdr:col>3</xdr:col>
      <xdr:colOff>95250</xdr:colOff>
      <xdr:row>367</xdr:row>
      <xdr:rowOff>104775</xdr:rowOff>
    </xdr:to>
    <xdr:pic>
      <xdr:nvPicPr>
        <xdr:cNvPr id="365" name="Grafik 379"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3694925"/>
          <a:ext cx="95250" cy="104775"/>
        </a:xfrm>
        <a:prstGeom prst="rect">
          <a:avLst/>
        </a:prstGeom>
        <a:noFill/>
        <a:ln w="9525">
          <a:noFill/>
          <a:miter lim="800000"/>
          <a:headEnd/>
          <a:tailEnd/>
        </a:ln>
      </xdr:spPr>
    </xdr:pic>
    <xdr:clientData/>
  </xdr:twoCellAnchor>
  <xdr:twoCellAnchor editAs="oneCell">
    <xdr:from>
      <xdr:col>3</xdr:col>
      <xdr:colOff>0</xdr:colOff>
      <xdr:row>368</xdr:row>
      <xdr:rowOff>0</xdr:rowOff>
    </xdr:from>
    <xdr:to>
      <xdr:col>3</xdr:col>
      <xdr:colOff>95250</xdr:colOff>
      <xdr:row>368</xdr:row>
      <xdr:rowOff>104775</xdr:rowOff>
    </xdr:to>
    <xdr:pic>
      <xdr:nvPicPr>
        <xdr:cNvPr id="366" name="Grafik 380"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3894950"/>
          <a:ext cx="95250" cy="104775"/>
        </a:xfrm>
        <a:prstGeom prst="rect">
          <a:avLst/>
        </a:prstGeom>
        <a:noFill/>
        <a:ln w="9525">
          <a:noFill/>
          <a:miter lim="800000"/>
          <a:headEnd/>
          <a:tailEnd/>
        </a:ln>
      </xdr:spPr>
    </xdr:pic>
    <xdr:clientData/>
  </xdr:twoCellAnchor>
  <xdr:twoCellAnchor editAs="oneCell">
    <xdr:from>
      <xdr:col>3</xdr:col>
      <xdr:colOff>0</xdr:colOff>
      <xdr:row>369</xdr:row>
      <xdr:rowOff>0</xdr:rowOff>
    </xdr:from>
    <xdr:to>
      <xdr:col>3</xdr:col>
      <xdr:colOff>95250</xdr:colOff>
      <xdr:row>369</xdr:row>
      <xdr:rowOff>104775</xdr:rowOff>
    </xdr:to>
    <xdr:pic>
      <xdr:nvPicPr>
        <xdr:cNvPr id="367" name="Grafik 381"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4094975"/>
          <a:ext cx="95250" cy="104775"/>
        </a:xfrm>
        <a:prstGeom prst="rect">
          <a:avLst/>
        </a:prstGeom>
        <a:noFill/>
        <a:ln w="9525">
          <a:noFill/>
          <a:miter lim="800000"/>
          <a:headEnd/>
          <a:tailEnd/>
        </a:ln>
      </xdr:spPr>
    </xdr:pic>
    <xdr:clientData/>
  </xdr:twoCellAnchor>
  <xdr:twoCellAnchor editAs="oneCell">
    <xdr:from>
      <xdr:col>3</xdr:col>
      <xdr:colOff>0</xdr:colOff>
      <xdr:row>370</xdr:row>
      <xdr:rowOff>0</xdr:rowOff>
    </xdr:from>
    <xdr:to>
      <xdr:col>3</xdr:col>
      <xdr:colOff>95250</xdr:colOff>
      <xdr:row>370</xdr:row>
      <xdr:rowOff>104775</xdr:rowOff>
    </xdr:to>
    <xdr:pic>
      <xdr:nvPicPr>
        <xdr:cNvPr id="368" name="Grafik 382"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4295000"/>
          <a:ext cx="95250" cy="104775"/>
        </a:xfrm>
        <a:prstGeom prst="rect">
          <a:avLst/>
        </a:prstGeom>
        <a:noFill/>
        <a:ln w="9525">
          <a:noFill/>
          <a:miter lim="800000"/>
          <a:headEnd/>
          <a:tailEnd/>
        </a:ln>
      </xdr:spPr>
    </xdr:pic>
    <xdr:clientData/>
  </xdr:twoCellAnchor>
  <xdr:twoCellAnchor editAs="oneCell">
    <xdr:from>
      <xdr:col>3</xdr:col>
      <xdr:colOff>0</xdr:colOff>
      <xdr:row>371</xdr:row>
      <xdr:rowOff>0</xdr:rowOff>
    </xdr:from>
    <xdr:to>
      <xdr:col>3</xdr:col>
      <xdr:colOff>95250</xdr:colOff>
      <xdr:row>371</xdr:row>
      <xdr:rowOff>104775</xdr:rowOff>
    </xdr:to>
    <xdr:pic>
      <xdr:nvPicPr>
        <xdr:cNvPr id="369" name="Grafik 383"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4495025"/>
          <a:ext cx="95250" cy="104775"/>
        </a:xfrm>
        <a:prstGeom prst="rect">
          <a:avLst/>
        </a:prstGeom>
        <a:noFill/>
        <a:ln w="9525">
          <a:noFill/>
          <a:miter lim="800000"/>
          <a:headEnd/>
          <a:tailEnd/>
        </a:ln>
      </xdr:spPr>
    </xdr:pic>
    <xdr:clientData/>
  </xdr:twoCellAnchor>
  <xdr:twoCellAnchor editAs="oneCell">
    <xdr:from>
      <xdr:col>3</xdr:col>
      <xdr:colOff>0</xdr:colOff>
      <xdr:row>372</xdr:row>
      <xdr:rowOff>0</xdr:rowOff>
    </xdr:from>
    <xdr:to>
      <xdr:col>3</xdr:col>
      <xdr:colOff>95250</xdr:colOff>
      <xdr:row>372</xdr:row>
      <xdr:rowOff>104775</xdr:rowOff>
    </xdr:to>
    <xdr:pic>
      <xdr:nvPicPr>
        <xdr:cNvPr id="370" name="Grafik 384"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4695050"/>
          <a:ext cx="95250" cy="104775"/>
        </a:xfrm>
        <a:prstGeom prst="rect">
          <a:avLst/>
        </a:prstGeom>
        <a:noFill/>
        <a:ln w="9525">
          <a:noFill/>
          <a:miter lim="800000"/>
          <a:headEnd/>
          <a:tailEnd/>
        </a:ln>
      </xdr:spPr>
    </xdr:pic>
    <xdr:clientData/>
  </xdr:twoCellAnchor>
  <xdr:twoCellAnchor editAs="oneCell">
    <xdr:from>
      <xdr:col>3</xdr:col>
      <xdr:colOff>0</xdr:colOff>
      <xdr:row>373</xdr:row>
      <xdr:rowOff>0</xdr:rowOff>
    </xdr:from>
    <xdr:to>
      <xdr:col>3</xdr:col>
      <xdr:colOff>95250</xdr:colOff>
      <xdr:row>373</xdr:row>
      <xdr:rowOff>104775</xdr:rowOff>
    </xdr:to>
    <xdr:pic>
      <xdr:nvPicPr>
        <xdr:cNvPr id="371" name="Grafik 385"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4895075"/>
          <a:ext cx="95250" cy="104775"/>
        </a:xfrm>
        <a:prstGeom prst="rect">
          <a:avLst/>
        </a:prstGeom>
        <a:noFill/>
        <a:ln w="9525">
          <a:noFill/>
          <a:miter lim="800000"/>
          <a:headEnd/>
          <a:tailEnd/>
        </a:ln>
      </xdr:spPr>
    </xdr:pic>
    <xdr:clientData/>
  </xdr:twoCellAnchor>
  <xdr:twoCellAnchor editAs="oneCell">
    <xdr:from>
      <xdr:col>3</xdr:col>
      <xdr:colOff>0</xdr:colOff>
      <xdr:row>374</xdr:row>
      <xdr:rowOff>0</xdr:rowOff>
    </xdr:from>
    <xdr:to>
      <xdr:col>3</xdr:col>
      <xdr:colOff>95250</xdr:colOff>
      <xdr:row>374</xdr:row>
      <xdr:rowOff>104775</xdr:rowOff>
    </xdr:to>
    <xdr:pic>
      <xdr:nvPicPr>
        <xdr:cNvPr id="372" name="Grafik 386" descr="See notes for: &#10;Gross domestic product, constant prices (National currency).">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5095100"/>
          <a:ext cx="95250" cy="104775"/>
        </a:xfrm>
        <a:prstGeom prst="rect">
          <a:avLst/>
        </a:prstGeom>
        <a:noFill/>
        <a:ln w="9525">
          <a:noFill/>
          <a:miter lim="800000"/>
          <a:headEnd/>
          <a:tailEnd/>
        </a:ln>
      </xdr:spPr>
    </xdr:pic>
    <xdr:clientData/>
  </xdr:twoCellAnchor>
  <xdr:twoCellAnchor editAs="oneCell">
    <xdr:from>
      <xdr:col>3</xdr:col>
      <xdr:colOff>0</xdr:colOff>
      <xdr:row>375</xdr:row>
      <xdr:rowOff>0</xdr:rowOff>
    </xdr:from>
    <xdr:to>
      <xdr:col>3</xdr:col>
      <xdr:colOff>95250</xdr:colOff>
      <xdr:row>375</xdr:row>
      <xdr:rowOff>104775</xdr:rowOff>
    </xdr:to>
    <xdr:pic>
      <xdr:nvPicPr>
        <xdr:cNvPr id="373" name="Grafik 387" descr="See notes for: &#10;Inflation, end of period consumer prices (Index).">
          <a:hlinkClick xmlns:r="http://schemas.openxmlformats.org/officeDocument/2006/relationships" r:id=""/>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86000" y="75295125"/>
          <a:ext cx="95250" cy="104775"/>
        </a:xfrm>
        <a:prstGeom prst="rect">
          <a:avLst/>
        </a:prstGeom>
        <a:noFill/>
        <a:ln w="9525">
          <a:noFill/>
          <a:miter lim="800000"/>
          <a:headEnd/>
          <a:tailEnd/>
        </a:ln>
      </xdr:spPr>
    </xdr:pic>
    <xdr:clientData/>
  </xdr:twoCellAnchor>
  <xdr:twoCellAnchor editAs="oneCell">
    <xdr:from>
      <xdr:col>0</xdr:col>
      <xdr:colOff>0</xdr:colOff>
      <xdr:row>2</xdr:row>
      <xdr:rowOff>0</xdr:rowOff>
    </xdr:from>
    <xdr:to>
      <xdr:col>1</xdr:col>
      <xdr:colOff>152400</xdr:colOff>
      <xdr:row>3</xdr:row>
      <xdr:rowOff>38100</xdr:rowOff>
    </xdr:to>
    <xdr:pic>
      <xdr:nvPicPr>
        <xdr:cNvPr id="374" name="Picture 2"/>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571500"/>
          <a:ext cx="914400" cy="228600"/>
        </a:xfrm>
        <a:prstGeom prst="rect">
          <a:avLst/>
        </a:prstGeom>
        <a:noFill/>
        <a:ln w="9525">
          <a:miter lim="800000"/>
          <a:headEnd/>
          <a:tailEnd/>
        </a:ln>
      </xdr:spPr>
    </xdr:pic>
    <xdr:clientData/>
  </xdr:twoCellAnchor>
  <xdr:twoCellAnchor editAs="oneCell">
    <xdr:from>
      <xdr:col>0</xdr:col>
      <xdr:colOff>0</xdr:colOff>
      <xdr:row>2</xdr:row>
      <xdr:rowOff>0</xdr:rowOff>
    </xdr:from>
    <xdr:to>
      <xdr:col>0</xdr:col>
      <xdr:colOff>466725</xdr:colOff>
      <xdr:row>3</xdr:row>
      <xdr:rowOff>9525</xdr:rowOff>
    </xdr:to>
    <xdr:pic>
      <xdr:nvPicPr>
        <xdr:cNvPr id="375" name="Picture 3"/>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571500"/>
          <a:ext cx="466725" cy="200025"/>
        </a:xfrm>
        <a:prstGeom prst="rect">
          <a:avLst/>
        </a:prstGeom>
        <a:noFill/>
        <a:ln w="9525">
          <a:miter lim="800000"/>
          <a:headEnd/>
          <a:tailEnd/>
        </a:ln>
      </xdr:spPr>
    </xdr:pic>
    <xdr:clientData/>
  </xdr:twoCellAnchor>
  <xdr:twoCellAnchor editAs="oneCell">
    <xdr:from>
      <xdr:col>1</xdr:col>
      <xdr:colOff>0</xdr:colOff>
      <xdr:row>2</xdr:row>
      <xdr:rowOff>0</xdr:rowOff>
    </xdr:from>
    <xdr:to>
      <xdr:col>1</xdr:col>
      <xdr:colOff>257175</xdr:colOff>
      <xdr:row>3</xdr:row>
      <xdr:rowOff>47625</xdr:rowOff>
    </xdr:to>
    <xdr:pic>
      <xdr:nvPicPr>
        <xdr:cNvPr id="376" name="Picture 4"/>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0" y="571500"/>
          <a:ext cx="257175" cy="238125"/>
        </a:xfrm>
        <a:prstGeom prst="rect">
          <a:avLst/>
        </a:prstGeom>
        <a:noFill/>
        <a:ln w="9525">
          <a:miter lim="800000"/>
          <a:headEnd/>
          <a:tailEnd/>
        </a:ln>
      </xdr:spPr>
    </xdr:pic>
    <xdr:clientData/>
  </xdr:twoCellAnchor>
  <xdr:twoCellAnchor editAs="oneCell">
    <xdr:from>
      <xdr:col>0</xdr:col>
      <xdr:colOff>0</xdr:colOff>
      <xdr:row>2</xdr:row>
      <xdr:rowOff>0</xdr:rowOff>
    </xdr:from>
    <xdr:to>
      <xdr:col>0</xdr:col>
      <xdr:colOff>257175</xdr:colOff>
      <xdr:row>3</xdr:row>
      <xdr:rowOff>47625</xdr:rowOff>
    </xdr:to>
    <xdr:pic>
      <xdr:nvPicPr>
        <xdr:cNvPr id="377" name="Picture 5"/>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571500"/>
          <a:ext cx="257175" cy="238125"/>
        </a:xfrm>
        <a:prstGeom prst="rect">
          <a:avLst/>
        </a:prstGeom>
        <a:noFill/>
        <a:ln w="9525">
          <a:miter lim="800000"/>
          <a:headEnd/>
          <a:tailEnd/>
        </a:ln>
      </xdr:spPr>
    </xdr:pic>
    <xdr:clientData/>
  </xdr:twoCellAnchor>
  <xdr:twoCellAnchor editAs="oneCell">
    <xdr:from>
      <xdr:col>0</xdr:col>
      <xdr:colOff>0</xdr:colOff>
      <xdr:row>2</xdr:row>
      <xdr:rowOff>0</xdr:rowOff>
    </xdr:from>
    <xdr:to>
      <xdr:col>1</xdr:col>
      <xdr:colOff>152400</xdr:colOff>
      <xdr:row>3</xdr:row>
      <xdr:rowOff>38100</xdr:rowOff>
    </xdr:to>
    <xdr:pic>
      <xdr:nvPicPr>
        <xdr:cNvPr id="378" name="Picture 16" hidden="1"/>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571500"/>
          <a:ext cx="914400" cy="228600"/>
        </a:xfrm>
        <a:prstGeom prst="rect">
          <a:avLst/>
        </a:prstGeom>
        <a:noFill/>
        <a:ln w="9525">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X30"/>
  <sheetViews>
    <sheetView tabSelected="1" topLeftCell="A4" workbookViewId="0">
      <selection activeCell="D9" sqref="D9:F9"/>
    </sheetView>
  </sheetViews>
  <sheetFormatPr baseColWidth="10" defaultColWidth="10.85546875" defaultRowHeight="12.75" outlineLevelRow="1"/>
  <cols>
    <col min="1" max="1" width="10.85546875" style="39"/>
    <col min="2" max="2" width="35.85546875" style="40" customWidth="1"/>
    <col min="3" max="3" width="3.42578125" style="39" customWidth="1"/>
    <col min="4" max="5" width="30.7109375" style="42" customWidth="1"/>
    <col min="6" max="6" width="30.7109375" style="39" customWidth="1"/>
    <col min="7" max="7" width="14.28515625" style="42" customWidth="1"/>
    <col min="8" max="8" width="14.28515625" style="39" customWidth="1"/>
    <col min="9" max="11" width="16.7109375" style="39" customWidth="1"/>
    <col min="12" max="12" width="10.85546875" style="39"/>
    <col min="13" max="13" width="12.42578125" style="39" bestFit="1" customWidth="1"/>
    <col min="14" max="14" width="11.7109375" style="39" bestFit="1" customWidth="1"/>
    <col min="15" max="15" width="10.85546875" style="39"/>
    <col min="16" max="16" width="15.85546875" style="39" bestFit="1" customWidth="1"/>
    <col min="17" max="17" width="18" style="39" bestFit="1" customWidth="1"/>
    <col min="18" max="20" width="10.85546875" style="39"/>
    <col min="21" max="21" width="12.42578125" style="39" bestFit="1" customWidth="1"/>
    <col min="22" max="16384" width="10.85546875" style="39"/>
  </cols>
  <sheetData>
    <row r="3" spans="2:6">
      <c r="B3" s="38" t="s">
        <v>2</v>
      </c>
      <c r="D3" s="95">
        <v>42456</v>
      </c>
      <c r="E3" s="95"/>
    </row>
    <row r="6" spans="2:6" s="42" customFormat="1">
      <c r="B6" s="96" t="s">
        <v>0</v>
      </c>
      <c r="D6" s="281" t="s">
        <v>673</v>
      </c>
      <c r="E6" s="281"/>
      <c r="F6" s="280"/>
    </row>
    <row r="7" spans="2:6" s="42" customFormat="1">
      <c r="B7" s="96" t="s">
        <v>4</v>
      </c>
      <c r="D7" s="279" t="s">
        <v>675</v>
      </c>
      <c r="E7" s="279"/>
      <c r="F7" s="280"/>
    </row>
    <row r="8" spans="2:6" s="42" customFormat="1">
      <c r="B8" s="96" t="s">
        <v>544</v>
      </c>
      <c r="D8" s="282">
        <v>43344</v>
      </c>
      <c r="E8" s="282"/>
      <c r="F8" s="283"/>
    </row>
    <row r="9" spans="2:6" s="42" customFormat="1" ht="48" customHeight="1">
      <c r="B9" s="96" t="s">
        <v>1</v>
      </c>
      <c r="D9" s="279" t="s">
        <v>685</v>
      </c>
      <c r="E9" s="279"/>
      <c r="F9" s="280"/>
    </row>
    <row r="10" spans="2:6" s="42" customFormat="1">
      <c r="B10" s="96"/>
    </row>
    <row r="11" spans="2:6" s="42" customFormat="1" ht="30" customHeight="1">
      <c r="B11" s="96"/>
      <c r="D11" s="279" t="s">
        <v>663</v>
      </c>
      <c r="E11" s="279"/>
      <c r="F11" s="280"/>
    </row>
    <row r="12" spans="2:6" s="42" customFormat="1">
      <c r="B12" s="96"/>
    </row>
    <row r="13" spans="2:6" s="42" customFormat="1">
      <c r="B13" s="96" t="s">
        <v>6</v>
      </c>
      <c r="D13" s="279" t="s">
        <v>545</v>
      </c>
      <c r="E13" s="279"/>
      <c r="F13" s="280"/>
    </row>
    <row r="14" spans="2:6" s="42" customFormat="1" ht="75" customHeight="1">
      <c r="B14" s="96" t="s">
        <v>3</v>
      </c>
      <c r="D14" s="279" t="s">
        <v>666</v>
      </c>
      <c r="E14" s="279"/>
      <c r="F14" s="280"/>
    </row>
    <row r="15" spans="2:6" s="42" customFormat="1">
      <c r="B15" s="96" t="s">
        <v>5</v>
      </c>
      <c r="D15" s="279" t="s">
        <v>662</v>
      </c>
      <c r="E15" s="279"/>
      <c r="F15" s="280"/>
    </row>
    <row r="16" spans="2:6" s="42" customFormat="1">
      <c r="B16" s="96"/>
    </row>
    <row r="17" spans="2:24" s="42" customFormat="1" ht="63.75" customHeight="1">
      <c r="B17" s="96" t="s">
        <v>10</v>
      </c>
      <c r="D17" s="279" t="s">
        <v>546</v>
      </c>
      <c r="E17" s="279"/>
      <c r="F17" s="280"/>
    </row>
    <row r="18" spans="2:24" s="42" customFormat="1" ht="43.5" customHeight="1">
      <c r="B18" s="96" t="s">
        <v>9</v>
      </c>
      <c r="D18" s="279" t="s">
        <v>680</v>
      </c>
      <c r="E18" s="279"/>
      <c r="F18" s="280"/>
    </row>
    <row r="19" spans="2:24" s="42" customFormat="1" ht="27" customHeight="1">
      <c r="B19" s="96" t="s">
        <v>11</v>
      </c>
      <c r="D19" s="287" t="s">
        <v>547</v>
      </c>
      <c r="E19" s="288"/>
      <c r="F19" s="289"/>
    </row>
    <row r="20" spans="2:24" s="42" customFormat="1">
      <c r="B20" s="96"/>
      <c r="D20" s="290" t="s">
        <v>671</v>
      </c>
      <c r="E20" s="291"/>
      <c r="F20" s="292"/>
    </row>
    <row r="21" spans="2:24">
      <c r="B21" s="39"/>
      <c r="D21" s="97"/>
      <c r="E21" s="97"/>
      <c r="F21" s="97"/>
    </row>
    <row r="22" spans="2:24" s="42" customFormat="1" ht="38.25" outlineLevel="1">
      <c r="B22" s="180" t="s">
        <v>552</v>
      </c>
      <c r="C22" s="180"/>
      <c r="D22" s="181" t="s">
        <v>9</v>
      </c>
      <c r="E22" s="181" t="s">
        <v>614</v>
      </c>
      <c r="F22" s="182" t="s">
        <v>548</v>
      </c>
      <c r="G22" s="250"/>
      <c r="H22" s="250" t="s">
        <v>637</v>
      </c>
      <c r="I22" s="250" t="s">
        <v>638</v>
      </c>
      <c r="J22" s="250" t="s">
        <v>639</v>
      </c>
      <c r="K22" s="250" t="s">
        <v>641</v>
      </c>
      <c r="L22" s="250" t="s">
        <v>640</v>
      </c>
      <c r="M22" s="250" t="s">
        <v>642</v>
      </c>
      <c r="N22" s="42" t="s">
        <v>643</v>
      </c>
      <c r="O22" s="42" t="s">
        <v>644</v>
      </c>
      <c r="P22" s="42" t="s">
        <v>647</v>
      </c>
      <c r="Q22" s="42" t="s">
        <v>648</v>
      </c>
    </row>
    <row r="23" spans="2:24" ht="33.75" outlineLevel="1">
      <c r="B23" s="183" t="s">
        <v>559</v>
      </c>
      <c r="C23" s="183"/>
      <c r="D23" s="183" t="s">
        <v>676</v>
      </c>
      <c r="E23" s="184">
        <f>321418820*50.8%*50%*20%*2</f>
        <v>32656152.112000003</v>
      </c>
      <c r="F23" s="247" t="s">
        <v>677</v>
      </c>
      <c r="G23" s="250" t="s">
        <v>636</v>
      </c>
      <c r="H23" s="251">
        <v>32000</v>
      </c>
      <c r="I23" s="256">
        <v>3.7999999999999999E-2</v>
      </c>
      <c r="J23" s="251">
        <v>16000</v>
      </c>
      <c r="K23" s="252">
        <v>27</v>
      </c>
      <c r="L23" s="254">
        <v>2.5</v>
      </c>
      <c r="M23" s="255">
        <v>0.7</v>
      </c>
      <c r="N23" s="249">
        <f>J23*I23</f>
        <v>608</v>
      </c>
      <c r="O23" s="249">
        <f>N23/K23</f>
        <v>22.518518518518519</v>
      </c>
      <c r="P23" s="262">
        <v>1600000000</v>
      </c>
      <c r="Q23" s="261">
        <f>P23*M23</f>
        <v>1120000000</v>
      </c>
    </row>
    <row r="24" spans="2:24" ht="56.25" outlineLevel="1">
      <c r="B24" s="183" t="s">
        <v>560</v>
      </c>
      <c r="C24" s="183"/>
      <c r="D24" s="183" t="s">
        <v>549</v>
      </c>
      <c r="E24" s="186">
        <f>321418820*50.8%*33%*20%*10%</f>
        <v>1077653.0196960003</v>
      </c>
      <c r="F24" s="247" t="s">
        <v>635</v>
      </c>
      <c r="G24" s="250" t="s">
        <v>612</v>
      </c>
      <c r="H24" s="251">
        <f>H23*40%</f>
        <v>12800</v>
      </c>
      <c r="I24" s="253">
        <v>3.3000000000000002E-2</v>
      </c>
      <c r="J24" s="248"/>
      <c r="K24" s="248"/>
      <c r="L24" s="248"/>
      <c r="M24" s="248"/>
      <c r="X24" s="42"/>
    </row>
    <row r="25" spans="2:24" ht="22.5" outlineLevel="1">
      <c r="B25" s="187"/>
      <c r="C25" s="187"/>
      <c r="D25" s="183" t="s">
        <v>550</v>
      </c>
      <c r="E25" s="184">
        <v>122838</v>
      </c>
      <c r="F25" s="247" t="s">
        <v>551</v>
      </c>
      <c r="G25" s="250" t="s">
        <v>153</v>
      </c>
      <c r="H25" s="248"/>
      <c r="I25" s="248"/>
      <c r="J25" s="248"/>
      <c r="K25" s="252">
        <v>15</v>
      </c>
      <c r="L25" s="248"/>
      <c r="M25" s="248"/>
    </row>
    <row r="26" spans="2:24" ht="45" outlineLevel="1">
      <c r="B26" s="185" t="s">
        <v>664</v>
      </c>
      <c r="C26" s="185"/>
      <c r="D26" s="183" t="s">
        <v>679</v>
      </c>
      <c r="E26" s="184">
        <f>Q23*35%</f>
        <v>392000000</v>
      </c>
      <c r="F26" s="185" t="s">
        <v>651</v>
      </c>
      <c r="G26" s="258" t="s">
        <v>645</v>
      </c>
      <c r="H26" s="257">
        <v>10460</v>
      </c>
      <c r="I26" s="263"/>
      <c r="N26" s="249"/>
      <c r="P26" s="249"/>
    </row>
    <row r="27" spans="2:24" ht="25.5" outlineLevel="1">
      <c r="B27" s="100" t="s">
        <v>558</v>
      </c>
      <c r="C27" s="100"/>
      <c r="D27" s="98"/>
      <c r="E27" s="264"/>
      <c r="G27" s="259" t="s">
        <v>646</v>
      </c>
      <c r="H27" s="257">
        <v>6000</v>
      </c>
      <c r="I27" s="260">
        <f>H27/H23</f>
        <v>0.1875</v>
      </c>
      <c r="J27" s="249"/>
      <c r="P27" s="249"/>
    </row>
    <row r="28" spans="2:24" outlineLevel="1">
      <c r="B28" s="100"/>
      <c r="C28" s="100"/>
      <c r="D28" s="98"/>
      <c r="E28" s="98"/>
      <c r="F28" s="99"/>
      <c r="G28" s="100"/>
      <c r="H28" s="167"/>
      <c r="K28" s="249"/>
    </row>
    <row r="29" spans="2:24" s="42" customFormat="1" ht="30" customHeight="1">
      <c r="B29" s="41" t="s">
        <v>7</v>
      </c>
      <c r="D29" s="279" t="s">
        <v>674</v>
      </c>
      <c r="E29" s="279"/>
      <c r="F29" s="293"/>
    </row>
    <row r="30" spans="2:24" ht="15" customHeight="1">
      <c r="B30" s="41" t="s">
        <v>8</v>
      </c>
      <c r="D30" s="284" t="s">
        <v>678</v>
      </c>
      <c r="E30" s="285"/>
      <c r="F30" s="286"/>
    </row>
  </sheetData>
  <mergeCells count="14">
    <mergeCell ref="D7:F7"/>
    <mergeCell ref="D6:F6"/>
    <mergeCell ref="D9:F9"/>
    <mergeCell ref="D8:F8"/>
    <mergeCell ref="D30:F30"/>
    <mergeCell ref="D18:F18"/>
    <mergeCell ref="D19:F19"/>
    <mergeCell ref="D20:F20"/>
    <mergeCell ref="D14:F14"/>
    <mergeCell ref="D11:F11"/>
    <mergeCell ref="D29:F29"/>
    <mergeCell ref="D15:F15"/>
    <mergeCell ref="D17:F17"/>
    <mergeCell ref="D13:F13"/>
  </mergeCells>
  <pageMargins left="0.7" right="0.7" top="0.78740157499999996" bottom="0.78740157499999996" header="0.3" footer="0.3"/>
  <pageSetup paperSize="8"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F77"/>
  <sheetViews>
    <sheetView workbookViewId="0">
      <selection activeCell="B21" sqref="B21"/>
    </sheetView>
  </sheetViews>
  <sheetFormatPr baseColWidth="10" defaultColWidth="10.85546875" defaultRowHeight="12.75" outlineLevelRow="1"/>
  <cols>
    <col min="1" max="1" width="10.85546875" style="2"/>
    <col min="2" max="2" width="44.140625" style="2" customWidth="1"/>
    <col min="3" max="3" width="3.42578125" style="2" customWidth="1"/>
    <col min="4" max="4" width="23.42578125" style="2" customWidth="1"/>
    <col min="5" max="9" width="11.140625" style="2" customWidth="1"/>
    <col min="10" max="10" width="10.7109375" style="2" customWidth="1"/>
    <col min="11" max="11" width="10.28515625" style="2" bestFit="1" customWidth="1"/>
    <col min="12" max="12" width="12.140625" style="2" customWidth="1"/>
    <col min="13" max="16384" width="10.85546875" style="2"/>
  </cols>
  <sheetData>
    <row r="3" spans="2:12">
      <c r="B3" s="20" t="s">
        <v>2</v>
      </c>
      <c r="D3" s="95">
        <v>42456</v>
      </c>
    </row>
    <row r="7" spans="2:12">
      <c r="B7" s="20" t="s">
        <v>623</v>
      </c>
    </row>
    <row r="8" spans="2:12" ht="60">
      <c r="D8" s="274" t="s">
        <v>625</v>
      </c>
      <c r="E8" s="275" t="s">
        <v>634</v>
      </c>
      <c r="F8" s="275" t="s">
        <v>631</v>
      </c>
      <c r="G8" s="275" t="s">
        <v>627</v>
      </c>
      <c r="H8" s="276" t="s">
        <v>657</v>
      </c>
      <c r="I8" s="276" t="s">
        <v>564</v>
      </c>
      <c r="J8" s="276" t="s">
        <v>626</v>
      </c>
      <c r="K8" s="277" t="s">
        <v>628</v>
      </c>
      <c r="L8" s="277" t="s">
        <v>629</v>
      </c>
    </row>
    <row r="9" spans="2:12">
      <c r="B9" s="2" t="s">
        <v>661</v>
      </c>
      <c r="D9" s="242">
        <f>'1.INTIMATES'!F1</f>
        <v>7128285.2207810525</v>
      </c>
      <c r="E9" s="24">
        <f>Risk!D32</f>
        <v>0.32500000000000007</v>
      </c>
      <c r="F9" s="236">
        <f>'1.INTIMATES'!D5</f>
        <v>7.4999999999999997E-3</v>
      </c>
      <c r="G9" s="236">
        <f>'1.INTIMATES'!E5</f>
        <v>3.3000000000000002E-2</v>
      </c>
      <c r="H9" s="242">
        <f>'1.INTIMATES'!B7</f>
        <v>499</v>
      </c>
      <c r="I9" s="239">
        <f>'1.INTIMATES'!B8</f>
        <v>0.42499999999999999</v>
      </c>
      <c r="J9" s="237">
        <f>'1.INTIMATES'!B21</f>
        <v>0.15</v>
      </c>
      <c r="K9" s="242">
        <f>'1.INTIMATES'!G27</f>
        <v>-801552.47916952893</v>
      </c>
    </row>
    <row r="10" spans="2:12" ht="26.25" thickBot="1">
      <c r="B10" s="232" t="s">
        <v>669</v>
      </c>
      <c r="D10" s="243">
        <f>'2.INSTITUTIONAL'!F1</f>
        <v>8763749.7882866636</v>
      </c>
      <c r="E10" s="24">
        <f>Risk!E32</f>
        <v>0.26500000000000007</v>
      </c>
      <c r="F10" s="236">
        <f>'2.INSTITUTIONAL'!D6+'2.INSTITUTIONAL'!D8</f>
        <v>0.185</v>
      </c>
      <c r="G10" s="236">
        <f>'2.INSTITUTIONAL'!E6</f>
        <v>0.04</v>
      </c>
      <c r="H10" s="245">
        <f>'2.INSTITUTIONAL'!B10</f>
        <v>499</v>
      </c>
      <c r="I10" s="239">
        <f>'2.INSTITUTIONAL'!B11</f>
        <v>0.5</v>
      </c>
      <c r="J10" s="235">
        <f>'2.INSTITUTIONAL'!B24</f>
        <v>0.15</v>
      </c>
      <c r="K10" s="243">
        <f>'2.INSTITUTIONAL'!G30</f>
        <v>-86334.003598163254</v>
      </c>
    </row>
    <row r="11" spans="2:12" ht="13.5" thickTop="1">
      <c r="B11" s="2" t="s">
        <v>624</v>
      </c>
      <c r="D11" s="244">
        <f>D9+D10</f>
        <v>15892035.009067716</v>
      </c>
      <c r="F11" s="234"/>
      <c r="G11" s="234"/>
      <c r="H11" s="242"/>
      <c r="I11" s="22"/>
      <c r="J11" s="22"/>
      <c r="K11" s="242">
        <f>K9+K10</f>
        <v>-887886.48276769219</v>
      </c>
      <c r="L11" s="233">
        <f>'1.INTIMATES'!G31</f>
        <v>5.5869904783187284E-2</v>
      </c>
    </row>
    <row r="12" spans="2:12" ht="15">
      <c r="B12" s="278" t="s">
        <v>684</v>
      </c>
      <c r="D12" s="244">
        <f>'3. LICENCE IP'!F1</f>
        <v>1634565775.7540131</v>
      </c>
      <c r="E12" s="24">
        <f>Risk!F32</f>
        <v>0.10000000000000002</v>
      </c>
      <c r="F12" s="271">
        <f>'3. LICENCE IP'!D5</f>
        <v>2.8571428571428574E-2</v>
      </c>
      <c r="G12" s="236">
        <f>'3. LICENCE IP'!E5</f>
        <v>3.7999999999999999E-2</v>
      </c>
      <c r="H12" s="245">
        <f>'3. LICENCE IP'!B6</f>
        <v>149.79999999999998</v>
      </c>
      <c r="I12" s="238">
        <v>0.25</v>
      </c>
      <c r="J12" s="24">
        <v>0</v>
      </c>
      <c r="K12" s="23"/>
    </row>
    <row r="13" spans="2:12">
      <c r="D13" s="23"/>
      <c r="I13" s="21" t="s">
        <v>667</v>
      </c>
      <c r="J13" s="234"/>
    </row>
    <row r="15" spans="2:12">
      <c r="D15" s="300">
        <f>D11</f>
        <v>15892035.009067716</v>
      </c>
      <c r="E15" s="301"/>
      <c r="F15" s="302"/>
    </row>
    <row r="16" spans="2:12" outlineLevel="1"/>
    <row r="17" spans="4:7" outlineLevel="1">
      <c r="D17" s="33" t="str">
        <f>'Other methods'!B5</f>
        <v>Characteristic</v>
      </c>
      <c r="E17" s="34" t="str">
        <f>'Other methods'!C5</f>
        <v>-2 to +2</v>
      </c>
      <c r="F17" s="240">
        <f>'Other methods'!D5</f>
        <v>250000</v>
      </c>
    </row>
    <row r="18" spans="4:7" outlineLevel="1">
      <c r="D18" s="43" t="str">
        <f>'Other methods'!B6</f>
        <v>Management</v>
      </c>
      <c r="E18" s="44">
        <f>'Other methods'!C6</f>
        <v>1.5</v>
      </c>
      <c r="F18" s="241">
        <f>'Other methods'!D6</f>
        <v>375000</v>
      </c>
    </row>
    <row r="19" spans="4:7" outlineLevel="1">
      <c r="D19" s="43" t="str">
        <f>'Other methods'!B7</f>
        <v>Stage of the business</v>
      </c>
      <c r="E19" s="44">
        <f>'Other methods'!C7</f>
        <v>-0.5</v>
      </c>
      <c r="F19" s="241">
        <f>'Other methods'!D7</f>
        <v>-125000</v>
      </c>
    </row>
    <row r="20" spans="4:7" outlineLevel="1">
      <c r="D20" s="43" t="str">
        <f>'Other methods'!B8</f>
        <v>Legislation/Political risk</v>
      </c>
      <c r="E20" s="44">
        <f>'Other methods'!C8</f>
        <v>2</v>
      </c>
      <c r="F20" s="241">
        <f>'Other methods'!D8</f>
        <v>500000</v>
      </c>
    </row>
    <row r="21" spans="4:7" outlineLevel="1">
      <c r="D21" s="43" t="str">
        <f>'Other methods'!B9</f>
        <v>Manufacturing risk</v>
      </c>
      <c r="E21" s="44">
        <f>'Other methods'!C9</f>
        <v>-2</v>
      </c>
      <c r="F21" s="241">
        <f>'Other methods'!D9</f>
        <v>-500000</v>
      </c>
    </row>
    <row r="22" spans="4:7" outlineLevel="1">
      <c r="D22" s="43" t="str">
        <f>'Other methods'!B10</f>
        <v>Sales and marketing risk</v>
      </c>
      <c r="E22" s="44">
        <f>'Other methods'!C10</f>
        <v>-1.5</v>
      </c>
      <c r="F22" s="241">
        <f>'Other methods'!D10</f>
        <v>-375000</v>
      </c>
    </row>
    <row r="23" spans="4:7" outlineLevel="1">
      <c r="D23" s="43" t="str">
        <f>'Other methods'!B11</f>
        <v>Funding/capital raising risk</v>
      </c>
      <c r="E23" s="44">
        <f>'Other methods'!C11</f>
        <v>0</v>
      </c>
      <c r="F23" s="241">
        <f>'Other methods'!D11</f>
        <v>0</v>
      </c>
    </row>
    <row r="24" spans="4:7" outlineLevel="1">
      <c r="D24" s="43" t="str">
        <f>'Other methods'!B12</f>
        <v>Competition risk</v>
      </c>
      <c r="E24" s="44">
        <f>'Other methods'!C12</f>
        <v>1.5</v>
      </c>
      <c r="F24" s="241">
        <f>'Other methods'!D12</f>
        <v>375000</v>
      </c>
    </row>
    <row r="25" spans="4:7" outlineLevel="1">
      <c r="D25" s="43" t="str">
        <f>'Other methods'!B13</f>
        <v>Technology risk</v>
      </c>
      <c r="E25" s="44">
        <f>'Other methods'!C13</f>
        <v>1</v>
      </c>
      <c r="F25" s="241">
        <f>'Other methods'!D13</f>
        <v>250000</v>
      </c>
    </row>
    <row r="26" spans="4:7" outlineLevel="1">
      <c r="D26" s="43" t="str">
        <f>'Other methods'!B14</f>
        <v>Litigation risk</v>
      </c>
      <c r="E26" s="44">
        <f>'Other methods'!C14</f>
        <v>-0.5</v>
      </c>
      <c r="F26" s="241">
        <f>'Other methods'!D14</f>
        <v>-125000</v>
      </c>
    </row>
    <row r="27" spans="4:7" outlineLevel="1">
      <c r="D27" s="43" t="str">
        <f>'Other methods'!B15</f>
        <v>International risk</v>
      </c>
      <c r="E27" s="44">
        <f>'Other methods'!C15</f>
        <v>1.5</v>
      </c>
      <c r="F27" s="241">
        <f>'Other methods'!D15</f>
        <v>375000</v>
      </c>
    </row>
    <row r="28" spans="4:7" outlineLevel="1">
      <c r="D28" s="43" t="str">
        <f>'Other methods'!B16</f>
        <v>Reputation risk</v>
      </c>
      <c r="E28" s="44">
        <f>'Other methods'!C16</f>
        <v>-1.5</v>
      </c>
      <c r="F28" s="241">
        <f>'Other methods'!D16</f>
        <v>-375000</v>
      </c>
    </row>
    <row r="29" spans="4:7" outlineLevel="1">
      <c r="D29" s="43" t="str">
        <f>'Other methods'!B17</f>
        <v>Potential lucrative exit</v>
      </c>
      <c r="E29" s="44">
        <f>'Other methods'!C17</f>
        <v>1</v>
      </c>
      <c r="F29" s="241">
        <f>'Other methods'!D17</f>
        <v>250000</v>
      </c>
    </row>
    <row r="30" spans="4:7" outlineLevel="1">
      <c r="D30" s="35"/>
      <c r="E30" s="36" t="s">
        <v>52</v>
      </c>
      <c r="F30" s="37">
        <f>SUM(F18:F29)</f>
        <v>625000</v>
      </c>
    </row>
    <row r="31" spans="4:7" outlineLevel="1">
      <c r="D31" s="27"/>
      <c r="E31" s="28"/>
      <c r="F31" s="28"/>
    </row>
    <row r="32" spans="4:7" outlineLevel="1">
      <c r="D32" s="27"/>
      <c r="E32" s="29" t="s">
        <v>53</v>
      </c>
      <c r="F32" s="30">
        <f>'Other methods'!D20</f>
        <v>4</v>
      </c>
      <c r="G32" s="2" t="s">
        <v>618</v>
      </c>
    </row>
    <row r="33" spans="2:6" outlineLevel="1">
      <c r="D33" s="27"/>
      <c r="E33" s="29" t="s">
        <v>56</v>
      </c>
      <c r="F33" s="30">
        <f>F30/1000000</f>
        <v>0.625</v>
      </c>
    </row>
    <row r="34" spans="2:6" outlineLevel="1">
      <c r="D34" s="27"/>
      <c r="E34" s="29" t="s">
        <v>630</v>
      </c>
      <c r="F34" s="30">
        <f>F32+F33</f>
        <v>4.625</v>
      </c>
    </row>
    <row r="35" spans="2:6" ht="13.5" outlineLevel="1" thickBot="1">
      <c r="D35" s="27"/>
      <c r="E35" s="29" t="s">
        <v>55</v>
      </c>
      <c r="F35" s="31">
        <f>K11/1000000</f>
        <v>-0.88788648276769222</v>
      </c>
    </row>
    <row r="36" spans="2:6" ht="13.5" outlineLevel="1" thickTop="1">
      <c r="D36" s="27"/>
      <c r="E36" s="32" t="s">
        <v>632</v>
      </c>
      <c r="F36" s="18">
        <f>F34-F35</f>
        <v>5.5128864827676924</v>
      </c>
    </row>
    <row r="38" spans="2:6">
      <c r="B38" s="2" t="s">
        <v>72</v>
      </c>
      <c r="D38" s="297">
        <f>F36*1000000</f>
        <v>5512886.4827676928</v>
      </c>
      <c r="E38" s="303"/>
      <c r="F38" s="304"/>
    </row>
    <row r="39" spans="2:6">
      <c r="D39" s="246"/>
      <c r="E39" s="246"/>
      <c r="F39" s="246"/>
    </row>
    <row r="40" spans="2:6">
      <c r="B40" s="2" t="s">
        <v>73</v>
      </c>
      <c r="D40" s="305">
        <f>(D15+D38)/2</f>
        <v>10702460.745917704</v>
      </c>
      <c r="E40" s="306"/>
      <c r="F40" s="307"/>
    </row>
    <row r="41" spans="2:6">
      <c r="D41" s="246"/>
      <c r="E41" s="246"/>
      <c r="F41" s="246"/>
    </row>
    <row r="42" spans="2:6" ht="18" customHeight="1">
      <c r="B42" s="2" t="s">
        <v>555</v>
      </c>
      <c r="D42" s="308">
        <f>ROUND(D40,-5)</f>
        <v>10700000</v>
      </c>
      <c r="E42" s="309"/>
      <c r="F42" s="310"/>
    </row>
    <row r="43" spans="2:6">
      <c r="D43" s="246"/>
      <c r="E43" s="246"/>
      <c r="F43" s="246"/>
    </row>
    <row r="44" spans="2:6" ht="18" customHeight="1">
      <c r="B44" s="2" t="s">
        <v>74</v>
      </c>
      <c r="D44" s="297">
        <f>K11</f>
        <v>-887886.48276769219</v>
      </c>
      <c r="E44" s="298"/>
      <c r="F44" s="299"/>
    </row>
    <row r="45" spans="2:6">
      <c r="D45" s="246"/>
      <c r="E45" s="246"/>
      <c r="F45" s="246"/>
    </row>
    <row r="46" spans="2:6" ht="18" customHeight="1">
      <c r="B46" s="2" t="s">
        <v>75</v>
      </c>
      <c r="D46" s="294">
        <f>-D44/D42</f>
        <v>8.2980045118475912E-2</v>
      </c>
      <c r="E46" s="295"/>
      <c r="F46" s="296"/>
    </row>
    <row r="47" spans="2:6">
      <c r="D47" s="246"/>
      <c r="E47" s="246"/>
      <c r="F47" s="246"/>
    </row>
    <row r="48" spans="2:6" ht="18" customHeight="1">
      <c r="B48" s="2" t="s">
        <v>76</v>
      </c>
      <c r="D48" s="297">
        <f>D42+D44</f>
        <v>9812113.5172323082</v>
      </c>
      <c r="E48" s="298"/>
      <c r="F48" s="299"/>
    </row>
    <row r="74" spans="1:240">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c r="DD74" s="25"/>
      <c r="DE74" s="25"/>
      <c r="DF74" s="25"/>
      <c r="DG74" s="25"/>
      <c r="DH74" s="25"/>
      <c r="DI74" s="25"/>
      <c r="DJ74" s="25"/>
      <c r="DK74" s="25"/>
      <c r="DL74" s="25"/>
      <c r="DM74" s="25"/>
      <c r="DN74" s="25"/>
      <c r="DO74" s="25"/>
      <c r="DP74" s="25"/>
      <c r="DQ74" s="25"/>
      <c r="DR74" s="25"/>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c r="EW74" s="25"/>
      <c r="EX74" s="25"/>
      <c r="EY74" s="25"/>
      <c r="EZ74" s="25"/>
      <c r="FA74" s="25"/>
      <c r="FB74" s="25"/>
      <c r="FC74" s="25"/>
      <c r="FD74" s="25"/>
      <c r="FE74" s="25"/>
      <c r="FF74" s="25"/>
      <c r="FG74" s="25"/>
      <c r="FH74" s="25"/>
      <c r="FI74" s="25"/>
      <c r="FJ74" s="25"/>
      <c r="FK74" s="25"/>
      <c r="FL74" s="25"/>
      <c r="FM74" s="25"/>
      <c r="FN74" s="25"/>
      <c r="FO74" s="25"/>
      <c r="FP74" s="25"/>
      <c r="FQ74" s="25"/>
      <c r="FR74" s="25"/>
      <c r="FS74" s="25"/>
      <c r="FT74" s="25"/>
      <c r="FU74" s="25"/>
      <c r="FV74" s="25"/>
      <c r="FW74" s="25"/>
      <c r="FX74" s="25"/>
      <c r="FY74" s="25"/>
      <c r="FZ74" s="25"/>
      <c r="GA74" s="25"/>
      <c r="GB74" s="25"/>
      <c r="GC74" s="25"/>
      <c r="GD74" s="25"/>
      <c r="GE74" s="25"/>
      <c r="GF74" s="25"/>
      <c r="GG74" s="25"/>
      <c r="GH74" s="25"/>
      <c r="GI74" s="25"/>
      <c r="GJ74" s="25"/>
      <c r="GK74" s="25"/>
      <c r="GL74" s="25"/>
      <c r="GM74" s="25"/>
      <c r="GN74" s="25"/>
      <c r="GO74" s="25"/>
      <c r="GP74" s="25"/>
      <c r="GQ74" s="25"/>
      <c r="GR74" s="25"/>
      <c r="GS74" s="25"/>
      <c r="GT74" s="25"/>
      <c r="GU74" s="25"/>
      <c r="GV74" s="25"/>
      <c r="GW74" s="25"/>
      <c r="GX74" s="25"/>
      <c r="GY74" s="25"/>
      <c r="GZ74" s="25"/>
      <c r="HA74" s="25"/>
      <c r="HB74" s="25"/>
      <c r="HC74" s="25"/>
      <c r="HD74" s="25"/>
      <c r="HE74" s="25"/>
      <c r="HF74" s="25"/>
      <c r="HG74" s="25"/>
      <c r="HH74" s="25"/>
      <c r="HI74" s="25"/>
      <c r="HJ74" s="25"/>
      <c r="HK74" s="25"/>
      <c r="HL74" s="25"/>
      <c r="HM74" s="25"/>
      <c r="HN74" s="25"/>
      <c r="HO74" s="25"/>
      <c r="HP74" s="25"/>
      <c r="HQ74" s="25"/>
      <c r="HR74" s="25"/>
      <c r="HS74" s="25"/>
      <c r="HT74" s="25"/>
      <c r="HU74" s="25"/>
      <c r="HV74" s="25"/>
      <c r="HW74" s="25"/>
      <c r="HX74" s="25"/>
      <c r="HY74" s="25"/>
      <c r="HZ74" s="25"/>
      <c r="IA74" s="25"/>
      <c r="IB74" s="25"/>
      <c r="IC74" s="25"/>
      <c r="ID74" s="25"/>
      <c r="IE74" s="25"/>
      <c r="IF74" s="25"/>
    </row>
    <row r="75" spans="1:240">
      <c r="A75" s="25"/>
      <c r="B75" s="25"/>
      <c r="C75" s="25"/>
      <c r="D75" s="26"/>
      <c r="E75" s="26"/>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c r="DA75" s="25"/>
      <c r="DB75" s="25"/>
      <c r="DC75" s="25"/>
      <c r="DD75" s="25"/>
      <c r="DE75" s="25"/>
      <c r="DF75" s="25"/>
      <c r="DG75" s="25"/>
      <c r="DH75" s="25"/>
      <c r="DI75" s="25"/>
      <c r="DJ75" s="25"/>
      <c r="DK75" s="25"/>
      <c r="DL75" s="25"/>
      <c r="DM75" s="25"/>
      <c r="DN75" s="25"/>
      <c r="DO75" s="25"/>
      <c r="DP75" s="25"/>
      <c r="DQ75" s="25"/>
      <c r="DR75" s="25"/>
      <c r="DS75" s="25"/>
      <c r="DT75" s="25"/>
      <c r="DU75" s="25"/>
      <c r="DV75" s="25"/>
      <c r="DW75" s="25"/>
      <c r="DX75" s="25"/>
      <c r="DY75" s="25"/>
      <c r="DZ75" s="25"/>
      <c r="EA75" s="25"/>
      <c r="EB75" s="25"/>
      <c r="EC75" s="25"/>
      <c r="ED75" s="25"/>
      <c r="EE75" s="25"/>
      <c r="EF75" s="25"/>
      <c r="EG75" s="25"/>
      <c r="EH75" s="25"/>
      <c r="EI75" s="25"/>
      <c r="EJ75" s="25"/>
      <c r="EK75" s="25"/>
      <c r="EL75" s="25"/>
      <c r="EM75" s="25"/>
      <c r="EN75" s="25"/>
      <c r="EO75" s="25"/>
      <c r="EP75" s="25"/>
      <c r="EQ75" s="25"/>
      <c r="ER75" s="25"/>
      <c r="ES75" s="25"/>
      <c r="ET75" s="25"/>
      <c r="EU75" s="25"/>
      <c r="EV75" s="25"/>
      <c r="EW75" s="25"/>
      <c r="EX75" s="25"/>
      <c r="EY75" s="25"/>
      <c r="EZ75" s="25"/>
      <c r="FA75" s="25"/>
      <c r="FB75" s="25"/>
      <c r="FC75" s="25"/>
      <c r="FD75" s="25"/>
      <c r="FE75" s="25"/>
      <c r="FF75" s="25"/>
      <c r="FG75" s="25"/>
      <c r="FH75" s="25"/>
      <c r="FI75" s="25"/>
      <c r="FJ75" s="25"/>
      <c r="FK75" s="25"/>
      <c r="FL75" s="25"/>
      <c r="FM75" s="25"/>
      <c r="FN75" s="25"/>
      <c r="FO75" s="25"/>
      <c r="FP75" s="25"/>
      <c r="FQ75" s="25"/>
      <c r="FR75" s="25"/>
      <c r="FS75" s="25"/>
      <c r="FT75" s="25"/>
      <c r="FU75" s="25"/>
      <c r="FV75" s="25"/>
      <c r="FW75" s="25"/>
      <c r="FX75" s="25"/>
      <c r="FY75" s="25"/>
      <c r="FZ75" s="25"/>
      <c r="GA75" s="25"/>
      <c r="GB75" s="25"/>
      <c r="GC75" s="25"/>
      <c r="GD75" s="25"/>
      <c r="GE75" s="25"/>
      <c r="GF75" s="25"/>
      <c r="GG75" s="25"/>
      <c r="GH75" s="25"/>
      <c r="GI75" s="25"/>
      <c r="GJ75" s="25"/>
      <c r="GK75" s="25"/>
      <c r="GL75" s="25"/>
      <c r="GM75" s="25"/>
      <c r="GN75" s="25"/>
      <c r="GO75" s="25"/>
      <c r="GP75" s="25"/>
      <c r="GQ75" s="25"/>
      <c r="GR75" s="25"/>
      <c r="GS75" s="25"/>
      <c r="GT75" s="25"/>
      <c r="GU75" s="25"/>
      <c r="GV75" s="25"/>
      <c r="GW75" s="25"/>
      <c r="GX75" s="25"/>
      <c r="GY75" s="25"/>
      <c r="GZ75" s="25"/>
      <c r="HA75" s="25"/>
      <c r="HB75" s="25"/>
      <c r="HC75" s="25"/>
      <c r="HD75" s="25"/>
      <c r="HE75" s="25"/>
      <c r="HF75" s="25"/>
      <c r="HG75" s="25"/>
      <c r="HH75" s="25"/>
      <c r="HI75" s="25"/>
      <c r="HJ75" s="25"/>
      <c r="HK75" s="25"/>
      <c r="HL75" s="25"/>
      <c r="HM75" s="25"/>
      <c r="HN75" s="25"/>
      <c r="HO75" s="25"/>
      <c r="HP75" s="25"/>
      <c r="HQ75" s="25"/>
      <c r="HR75" s="25"/>
      <c r="HS75" s="25"/>
      <c r="HT75" s="25"/>
      <c r="HU75" s="25"/>
      <c r="HV75" s="25"/>
      <c r="HW75" s="25"/>
      <c r="HX75" s="25"/>
      <c r="HY75" s="25"/>
      <c r="HZ75" s="25"/>
      <c r="IA75" s="25"/>
      <c r="IB75" s="25"/>
      <c r="IC75" s="25"/>
      <c r="ID75" s="25"/>
      <c r="IE75" s="25"/>
      <c r="IF75" s="25"/>
    </row>
    <row r="76" spans="1:240">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c r="CY76" s="25"/>
      <c r="CZ76" s="25"/>
      <c r="DA76" s="25"/>
      <c r="DB76" s="25"/>
      <c r="DC76" s="25"/>
      <c r="DD76" s="25"/>
      <c r="DE76" s="25"/>
      <c r="DF76" s="25"/>
      <c r="DG76" s="25"/>
      <c r="DH76" s="25"/>
      <c r="DI76" s="25"/>
      <c r="DJ76" s="25"/>
      <c r="DK76" s="25"/>
      <c r="DL76" s="25"/>
      <c r="DM76" s="25"/>
      <c r="DN76" s="25"/>
      <c r="DO76" s="25"/>
      <c r="DP76" s="25"/>
      <c r="DQ76" s="25"/>
      <c r="DR76" s="25"/>
      <c r="DS76" s="25"/>
      <c r="DT76" s="25"/>
      <c r="DU76" s="25"/>
      <c r="DV76" s="25"/>
      <c r="DW76" s="25"/>
      <c r="DX76" s="25"/>
      <c r="DY76" s="25"/>
      <c r="DZ76" s="25"/>
      <c r="EA76" s="25"/>
      <c r="EB76" s="25"/>
      <c r="EC76" s="25"/>
      <c r="ED76" s="25"/>
      <c r="EE76" s="25"/>
      <c r="EF76" s="25"/>
      <c r="EG76" s="25"/>
      <c r="EH76" s="25"/>
      <c r="EI76" s="25"/>
      <c r="EJ76" s="25"/>
      <c r="EK76" s="25"/>
      <c r="EL76" s="25"/>
      <c r="EM76" s="25"/>
      <c r="EN76" s="25"/>
      <c r="EO76" s="25"/>
      <c r="EP76" s="25"/>
      <c r="EQ76" s="25"/>
      <c r="ER76" s="25"/>
      <c r="ES76" s="25"/>
      <c r="ET76" s="25"/>
      <c r="EU76" s="25"/>
      <c r="EV76" s="25"/>
      <c r="EW76" s="25"/>
      <c r="EX76" s="25"/>
      <c r="EY76" s="25"/>
      <c r="EZ76" s="25"/>
      <c r="FA76" s="25"/>
      <c r="FB76" s="25"/>
      <c r="FC76" s="25"/>
      <c r="FD76" s="25"/>
      <c r="FE76" s="25"/>
      <c r="FF76" s="25"/>
      <c r="FG76" s="25"/>
      <c r="FH76" s="25"/>
      <c r="FI76" s="25"/>
      <c r="FJ76" s="25"/>
      <c r="FK76" s="25"/>
      <c r="FL76" s="25"/>
      <c r="FM76" s="25"/>
      <c r="FN76" s="25"/>
      <c r="FO76" s="25"/>
      <c r="FP76" s="25"/>
      <c r="FQ76" s="25"/>
      <c r="FR76" s="25"/>
      <c r="FS76" s="25"/>
      <c r="FT76" s="25"/>
      <c r="FU76" s="25"/>
      <c r="FV76" s="25"/>
      <c r="FW76" s="25"/>
      <c r="FX76" s="25"/>
      <c r="FY76" s="25"/>
      <c r="FZ76" s="25"/>
      <c r="GA76" s="25"/>
      <c r="GB76" s="25"/>
      <c r="GC76" s="25"/>
      <c r="GD76" s="25"/>
      <c r="GE76" s="25"/>
      <c r="GF76" s="25"/>
      <c r="GG76" s="25"/>
      <c r="GH76" s="25"/>
      <c r="GI76" s="25"/>
      <c r="GJ76" s="25"/>
      <c r="GK76" s="25"/>
      <c r="GL76" s="25"/>
      <c r="GM76" s="25"/>
      <c r="GN76" s="25"/>
      <c r="GO76" s="25"/>
      <c r="GP76" s="25"/>
      <c r="GQ76" s="25"/>
      <c r="GR76" s="25"/>
      <c r="GS76" s="25"/>
      <c r="GT76" s="25"/>
      <c r="GU76" s="25"/>
      <c r="GV76" s="25"/>
      <c r="GW76" s="25"/>
      <c r="GX76" s="25"/>
      <c r="GY76" s="25"/>
      <c r="GZ76" s="25"/>
      <c r="HA76" s="25"/>
      <c r="HB76" s="25"/>
      <c r="HC76" s="25"/>
      <c r="HD76" s="25"/>
      <c r="HE76" s="25"/>
      <c r="HF76" s="25"/>
      <c r="HG76" s="25"/>
      <c r="HH76" s="25"/>
      <c r="HI76" s="25"/>
      <c r="HJ76" s="25"/>
      <c r="HK76" s="25"/>
      <c r="HL76" s="25"/>
      <c r="HM76" s="25"/>
      <c r="HN76" s="25"/>
      <c r="HO76" s="25"/>
      <c r="HP76" s="25"/>
      <c r="HQ76" s="25"/>
      <c r="HR76" s="25"/>
      <c r="HS76" s="25"/>
      <c r="HT76" s="25"/>
      <c r="HU76" s="25"/>
      <c r="HV76" s="25"/>
      <c r="HW76" s="25"/>
      <c r="HX76" s="25"/>
      <c r="HY76" s="25"/>
      <c r="HZ76" s="25"/>
      <c r="IA76" s="25"/>
      <c r="IB76" s="25"/>
      <c r="IC76" s="25"/>
      <c r="ID76" s="25"/>
      <c r="IE76" s="25"/>
      <c r="IF76" s="25"/>
    </row>
    <row r="77" spans="1:240">
      <c r="A77" s="25"/>
      <c r="B77" s="25"/>
      <c r="C77" s="25"/>
      <c r="D77" s="26"/>
      <c r="E77" s="26"/>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c r="CO77" s="25"/>
      <c r="CP77" s="25"/>
      <c r="CQ77" s="25"/>
      <c r="CR77" s="25"/>
      <c r="CS77" s="25"/>
      <c r="CT77" s="25"/>
      <c r="CU77" s="25"/>
      <c r="CV77" s="25"/>
      <c r="CW77" s="25"/>
      <c r="CX77" s="25"/>
      <c r="CY77" s="25"/>
      <c r="CZ77" s="25"/>
      <c r="DA77" s="25"/>
      <c r="DB77" s="25"/>
      <c r="DC77" s="25"/>
      <c r="DD77" s="25"/>
      <c r="DE77" s="25"/>
      <c r="DF77" s="25"/>
      <c r="DG77" s="25"/>
      <c r="DH77" s="25"/>
      <c r="DI77" s="25"/>
      <c r="DJ77" s="25"/>
      <c r="DK77" s="25"/>
      <c r="DL77" s="25"/>
      <c r="DM77" s="25"/>
      <c r="DN77" s="25"/>
      <c r="DO77" s="25"/>
      <c r="DP77" s="25"/>
      <c r="DQ77" s="25"/>
      <c r="DR77" s="25"/>
      <c r="DS77" s="25"/>
      <c r="DT77" s="25"/>
      <c r="DU77" s="25"/>
      <c r="DV77" s="25"/>
      <c r="DW77" s="25"/>
      <c r="DX77" s="25"/>
      <c r="DY77" s="25"/>
      <c r="DZ77" s="25"/>
      <c r="EA77" s="25"/>
      <c r="EB77" s="25"/>
      <c r="EC77" s="25"/>
      <c r="ED77" s="25"/>
      <c r="EE77" s="25"/>
      <c r="EF77" s="25"/>
      <c r="EG77" s="25"/>
      <c r="EH77" s="25"/>
      <c r="EI77" s="25"/>
      <c r="EJ77" s="25"/>
      <c r="EK77" s="25"/>
      <c r="EL77" s="25"/>
      <c r="EM77" s="25"/>
      <c r="EN77" s="25"/>
      <c r="EO77" s="25"/>
      <c r="EP77" s="25"/>
      <c r="EQ77" s="25"/>
      <c r="ER77" s="25"/>
      <c r="ES77" s="25"/>
      <c r="ET77" s="25"/>
      <c r="EU77" s="25"/>
      <c r="EV77" s="25"/>
      <c r="EW77" s="25"/>
      <c r="EX77" s="25"/>
      <c r="EY77" s="25"/>
      <c r="EZ77" s="25"/>
      <c r="FA77" s="25"/>
      <c r="FB77" s="25"/>
      <c r="FC77" s="25"/>
      <c r="FD77" s="25"/>
      <c r="FE77" s="25"/>
      <c r="FF77" s="25"/>
      <c r="FG77" s="25"/>
      <c r="FH77" s="25"/>
      <c r="FI77" s="25"/>
      <c r="FJ77" s="25"/>
      <c r="FK77" s="25"/>
      <c r="FL77" s="25"/>
      <c r="FM77" s="25"/>
      <c r="FN77" s="25"/>
      <c r="FO77" s="25"/>
      <c r="FP77" s="25"/>
      <c r="FQ77" s="25"/>
      <c r="FR77" s="25"/>
      <c r="FS77" s="25"/>
      <c r="FT77" s="25"/>
      <c r="FU77" s="25"/>
      <c r="FV77" s="25"/>
      <c r="FW77" s="25"/>
      <c r="FX77" s="25"/>
      <c r="FY77" s="25"/>
      <c r="FZ77" s="25"/>
      <c r="GA77" s="25"/>
      <c r="GB77" s="25"/>
      <c r="GC77" s="25"/>
      <c r="GD77" s="25"/>
      <c r="GE77" s="25"/>
      <c r="GF77" s="25"/>
      <c r="GG77" s="25"/>
      <c r="GH77" s="25"/>
      <c r="GI77" s="25"/>
      <c r="GJ77" s="25"/>
      <c r="GK77" s="25"/>
      <c r="GL77" s="25"/>
      <c r="GM77" s="25"/>
      <c r="GN77" s="25"/>
      <c r="GO77" s="25"/>
      <c r="GP77" s="25"/>
      <c r="GQ77" s="25"/>
      <c r="GR77" s="25"/>
      <c r="GS77" s="25"/>
      <c r="GT77" s="25"/>
      <c r="GU77" s="25"/>
      <c r="GV77" s="25"/>
      <c r="GW77" s="25"/>
      <c r="GX77" s="25"/>
      <c r="GY77" s="25"/>
      <c r="GZ77" s="25"/>
      <c r="HA77" s="25"/>
      <c r="HB77" s="25"/>
      <c r="HC77" s="25"/>
      <c r="HD77" s="25"/>
      <c r="HE77" s="25"/>
      <c r="HF77" s="25"/>
      <c r="HG77" s="25"/>
      <c r="HH77" s="25"/>
      <c r="HI77" s="25"/>
      <c r="HJ77" s="25"/>
      <c r="HK77" s="25"/>
      <c r="HL77" s="25"/>
      <c r="HM77" s="25"/>
      <c r="HN77" s="25"/>
      <c r="HO77" s="25"/>
      <c r="HP77" s="25"/>
      <c r="HQ77" s="25"/>
      <c r="HR77" s="25"/>
      <c r="HS77" s="25"/>
      <c r="HT77" s="25"/>
      <c r="HU77" s="25"/>
      <c r="HV77" s="25"/>
      <c r="HW77" s="25"/>
      <c r="HX77" s="25"/>
      <c r="HY77" s="25"/>
      <c r="HZ77" s="25"/>
      <c r="IA77" s="25"/>
      <c r="IB77" s="25"/>
      <c r="IC77" s="25"/>
      <c r="ID77" s="25"/>
      <c r="IE77" s="25"/>
      <c r="IF77" s="25"/>
    </row>
  </sheetData>
  <mergeCells count="7">
    <mergeCell ref="D46:F46"/>
    <mergeCell ref="D48:F48"/>
    <mergeCell ref="D15:F15"/>
    <mergeCell ref="D38:F38"/>
    <mergeCell ref="D40:F40"/>
    <mergeCell ref="D42:F42"/>
    <mergeCell ref="D44:F44"/>
  </mergeCells>
  <pageMargins left="0.7" right="0.7" top="0.78740157499999996" bottom="0.78740157499999996"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2"/>
  <sheetViews>
    <sheetView workbookViewId="0">
      <pane xSplit="3" ySplit="2" topLeftCell="D3" activePane="bottomRight" state="frozen"/>
      <selection pane="topRight" activeCell="D1" sqref="D1"/>
      <selection pane="bottomLeft" activeCell="A3" sqref="A3"/>
      <selection pane="bottomRight" activeCell="H10" sqref="H10"/>
    </sheetView>
  </sheetViews>
  <sheetFormatPr baseColWidth="10" defaultColWidth="10.85546875" defaultRowHeight="12"/>
  <cols>
    <col min="1" max="1" width="6" style="9" customWidth="1"/>
    <col min="2" max="2" width="50.85546875" style="9" customWidth="1"/>
    <col min="3" max="3" width="19.140625" style="49" customWidth="1"/>
    <col min="4" max="6" width="16.42578125" style="5" customWidth="1"/>
    <col min="7" max="7" width="36.28515625" style="10" customWidth="1"/>
    <col min="8" max="16384" width="10.85546875" style="9"/>
  </cols>
  <sheetData>
    <row r="1" spans="2:7" ht="12.75" thickBot="1"/>
    <row r="2" spans="2:7" ht="55.5" customHeight="1" thickBot="1">
      <c r="B2" s="4"/>
      <c r="C2" s="105" t="s">
        <v>78</v>
      </c>
      <c r="D2" s="168" t="s">
        <v>665</v>
      </c>
      <c r="E2" s="168" t="s">
        <v>615</v>
      </c>
      <c r="F2" s="168" t="s">
        <v>681</v>
      </c>
      <c r="G2" s="6" t="s">
        <v>50</v>
      </c>
    </row>
    <row r="3" spans="2:7" ht="12.75" thickBot="1">
      <c r="B3" s="11" t="s">
        <v>26</v>
      </c>
      <c r="C3" s="102">
        <v>0.03</v>
      </c>
      <c r="D3" s="104">
        <v>0.03</v>
      </c>
      <c r="E3" s="104">
        <v>0.03</v>
      </c>
      <c r="F3" s="104">
        <v>0.03</v>
      </c>
      <c r="G3" s="12"/>
    </row>
    <row r="4" spans="2:7" ht="12.75" thickBot="1">
      <c r="B4" s="13" t="s">
        <v>27</v>
      </c>
      <c r="C4" s="102">
        <v>0.05</v>
      </c>
      <c r="D4" s="104">
        <v>0.05</v>
      </c>
      <c r="E4" s="104">
        <v>0.05</v>
      </c>
      <c r="F4" s="104">
        <v>0.05</v>
      </c>
      <c r="G4" s="12"/>
    </row>
    <row r="5" spans="2:7" ht="12.75" thickBot="1">
      <c r="B5" s="14" t="s">
        <v>28</v>
      </c>
      <c r="C5" s="103">
        <v>0.1</v>
      </c>
      <c r="D5" s="104">
        <v>5.0000000000000001E-3</v>
      </c>
      <c r="E5" s="104">
        <v>5.0000000000000001E-3</v>
      </c>
      <c r="F5" s="104">
        <v>5.0000000000000001E-3</v>
      </c>
      <c r="G5" s="12"/>
    </row>
    <row r="6" spans="2:7" ht="12.75" thickBot="1">
      <c r="B6" s="14" t="s">
        <v>29</v>
      </c>
      <c r="C6" s="103">
        <v>0.02</v>
      </c>
      <c r="D6" s="7">
        <v>0.01</v>
      </c>
      <c r="E6" s="7">
        <v>5.0000000000000001E-3</v>
      </c>
      <c r="F6" s="7">
        <v>0</v>
      </c>
      <c r="G6" s="12" t="s">
        <v>575</v>
      </c>
    </row>
    <row r="7" spans="2:7" ht="24.75" thickBot="1">
      <c r="B7" s="14" t="s">
        <v>30</v>
      </c>
      <c r="C7" s="103">
        <v>0.03</v>
      </c>
      <c r="D7" s="7">
        <v>5.0000000000000001E-3</v>
      </c>
      <c r="E7" s="7">
        <v>5.0000000000000001E-3</v>
      </c>
      <c r="F7" s="7">
        <v>5.0000000000000001E-3</v>
      </c>
      <c r="G7" s="12"/>
    </row>
    <row r="8" spans="2:7" ht="12.75" thickBot="1">
      <c r="B8" s="14" t="s">
        <v>31</v>
      </c>
      <c r="C8" s="103">
        <v>0.03</v>
      </c>
      <c r="D8" s="7">
        <v>1.4999999999999999E-2</v>
      </c>
      <c r="E8" s="7">
        <v>5.0000000000000001E-3</v>
      </c>
      <c r="F8" s="7">
        <v>0</v>
      </c>
      <c r="G8" s="12" t="s">
        <v>576</v>
      </c>
    </row>
    <row r="9" spans="2:7" ht="12.75" thickBot="1">
      <c r="B9" s="14" t="s">
        <v>32</v>
      </c>
      <c r="C9" s="103">
        <v>0.03</v>
      </c>
      <c r="D9" s="7">
        <v>0</v>
      </c>
      <c r="E9" s="7">
        <v>0</v>
      </c>
      <c r="F9" s="7">
        <v>0</v>
      </c>
      <c r="G9" s="12"/>
    </row>
    <row r="10" spans="2:7" ht="12.75" thickBot="1">
      <c r="B10" s="14" t="s">
        <v>33</v>
      </c>
      <c r="C10" s="103">
        <v>0.08</v>
      </c>
      <c r="D10" s="7">
        <v>0.04</v>
      </c>
      <c r="E10" s="7">
        <v>0.02</v>
      </c>
      <c r="F10" s="7">
        <v>0</v>
      </c>
      <c r="G10" s="12"/>
    </row>
    <row r="11" spans="2:7" ht="12.75" thickBot="1">
      <c r="B11" s="14" t="s">
        <v>34</v>
      </c>
      <c r="C11" s="103">
        <v>0.05</v>
      </c>
      <c r="D11" s="104">
        <v>0</v>
      </c>
      <c r="E11" s="104">
        <v>0</v>
      </c>
      <c r="F11" s="104">
        <v>0</v>
      </c>
      <c r="G11" s="12" t="s">
        <v>577</v>
      </c>
    </row>
    <row r="12" spans="2:7" ht="12.75" thickBot="1">
      <c r="B12" s="14" t="s">
        <v>35</v>
      </c>
      <c r="C12" s="103">
        <v>0.02</v>
      </c>
      <c r="D12" s="7">
        <v>0</v>
      </c>
      <c r="E12" s="7">
        <v>0</v>
      </c>
      <c r="F12" s="7">
        <v>0</v>
      </c>
      <c r="G12" s="12"/>
    </row>
    <row r="13" spans="2:7" ht="12.75" thickBot="1">
      <c r="B13" s="14" t="s">
        <v>36</v>
      </c>
      <c r="C13" s="103">
        <v>0.05</v>
      </c>
      <c r="D13" s="104">
        <v>0</v>
      </c>
      <c r="E13" s="104">
        <v>0</v>
      </c>
      <c r="F13" s="104">
        <v>0</v>
      </c>
      <c r="G13" s="12"/>
    </row>
    <row r="14" spans="2:7" ht="12.75" thickBot="1">
      <c r="B14" s="14" t="s">
        <v>37</v>
      </c>
      <c r="C14" s="103">
        <v>0.02</v>
      </c>
      <c r="D14" s="7">
        <v>0.01</v>
      </c>
      <c r="E14" s="7">
        <v>0.01</v>
      </c>
      <c r="F14" s="7">
        <v>5.0000000000000001E-3</v>
      </c>
      <c r="G14" s="12" t="s">
        <v>579</v>
      </c>
    </row>
    <row r="15" spans="2:7" ht="12.75" thickBot="1">
      <c r="B15" s="14" t="s">
        <v>38</v>
      </c>
      <c r="C15" s="103">
        <v>0.02</v>
      </c>
      <c r="D15" s="104">
        <v>0</v>
      </c>
      <c r="E15" s="104">
        <v>0</v>
      </c>
      <c r="F15" s="104">
        <v>0</v>
      </c>
      <c r="G15" s="12"/>
    </row>
    <row r="16" spans="2:7" ht="12.75" thickBot="1">
      <c r="B16" s="14" t="s">
        <v>39</v>
      </c>
      <c r="C16" s="103">
        <v>0.02</v>
      </c>
      <c r="D16" s="7">
        <v>0.01</v>
      </c>
      <c r="E16" s="7">
        <v>1.4999999999999999E-2</v>
      </c>
      <c r="F16" s="7">
        <v>0</v>
      </c>
      <c r="G16" s="12" t="s">
        <v>578</v>
      </c>
    </row>
    <row r="17" spans="2:7" ht="12.75" thickBot="1">
      <c r="B17" s="14" t="s">
        <v>40</v>
      </c>
      <c r="C17" s="103">
        <v>0.02</v>
      </c>
      <c r="D17" s="7">
        <v>0.01</v>
      </c>
      <c r="E17" s="7">
        <v>0.01</v>
      </c>
      <c r="F17" s="7">
        <v>0</v>
      </c>
      <c r="G17" s="12"/>
    </row>
    <row r="18" spans="2:7" ht="12.75" thickBot="1">
      <c r="B18" s="14" t="s">
        <v>41</v>
      </c>
      <c r="C18" s="103">
        <v>0.02</v>
      </c>
      <c r="D18" s="7">
        <v>0.01</v>
      </c>
      <c r="E18" s="7">
        <v>0.01</v>
      </c>
      <c r="F18" s="7">
        <v>0</v>
      </c>
      <c r="G18" s="12"/>
    </row>
    <row r="19" spans="2:7" ht="12.75" thickBot="1">
      <c r="B19" s="14" t="s">
        <v>42</v>
      </c>
      <c r="C19" s="103">
        <v>0.03</v>
      </c>
      <c r="D19" s="104">
        <v>0</v>
      </c>
      <c r="E19" s="104">
        <v>0</v>
      </c>
      <c r="F19" s="104">
        <v>0</v>
      </c>
      <c r="G19" s="12"/>
    </row>
    <row r="20" spans="2:7" ht="12.75" thickBot="1">
      <c r="B20" s="14" t="s">
        <v>43</v>
      </c>
      <c r="C20" s="103">
        <v>0.06</v>
      </c>
      <c r="D20" s="7">
        <v>0.03</v>
      </c>
      <c r="E20" s="7">
        <v>0.03</v>
      </c>
      <c r="F20" s="7">
        <v>5.0000000000000001E-3</v>
      </c>
      <c r="G20" s="12"/>
    </row>
    <row r="21" spans="2:7" ht="12.75" thickBot="1">
      <c r="B21" s="14" t="s">
        <v>44</v>
      </c>
      <c r="C21" s="103">
        <v>0.02</v>
      </c>
      <c r="D21" s="7">
        <v>0.02</v>
      </c>
      <c r="E21" s="7">
        <v>5.0000000000000001E-3</v>
      </c>
      <c r="F21" s="7">
        <v>0</v>
      </c>
      <c r="G21" s="12"/>
    </row>
    <row r="22" spans="2:7" ht="24.75" thickBot="1">
      <c r="B22" s="14" t="s">
        <v>80</v>
      </c>
      <c r="C22" s="103">
        <v>0.03</v>
      </c>
      <c r="D22" s="104">
        <v>0</v>
      </c>
      <c r="E22" s="104">
        <v>0</v>
      </c>
      <c r="F22" s="104">
        <v>0</v>
      </c>
      <c r="G22" s="12"/>
    </row>
    <row r="23" spans="2:7" ht="12.75" thickBot="1">
      <c r="B23" s="14" t="s">
        <v>51</v>
      </c>
      <c r="C23" s="103">
        <v>0.03</v>
      </c>
      <c r="D23" s="104">
        <v>0</v>
      </c>
      <c r="E23" s="104">
        <v>0</v>
      </c>
      <c r="F23" s="104">
        <v>0</v>
      </c>
      <c r="G23" s="12"/>
    </row>
    <row r="24" spans="2:7" ht="24.75" thickBot="1">
      <c r="B24" s="14" t="s">
        <v>81</v>
      </c>
      <c r="C24" s="103">
        <v>0.03</v>
      </c>
      <c r="D24" s="104">
        <v>0.02</v>
      </c>
      <c r="E24" s="104">
        <v>1.4999999999999999E-2</v>
      </c>
      <c r="F24" s="104">
        <v>0</v>
      </c>
      <c r="G24" s="12"/>
    </row>
    <row r="25" spans="2:7" ht="12.75" thickBot="1">
      <c r="B25" s="14" t="s">
        <v>45</v>
      </c>
      <c r="C25" s="103">
        <v>0.03</v>
      </c>
      <c r="D25" s="104">
        <v>0</v>
      </c>
      <c r="E25" s="104">
        <v>0</v>
      </c>
      <c r="F25" s="104">
        <v>0</v>
      </c>
      <c r="G25" s="12"/>
    </row>
    <row r="26" spans="2:7" ht="12.75" thickBot="1">
      <c r="B26" s="14" t="s">
        <v>616</v>
      </c>
      <c r="C26" s="103">
        <v>0.03</v>
      </c>
      <c r="D26" s="104">
        <v>1.4999999999999999E-2</v>
      </c>
      <c r="E26" s="104">
        <v>1.4999999999999999E-2</v>
      </c>
      <c r="F26" s="104">
        <v>0</v>
      </c>
      <c r="G26" s="12"/>
    </row>
    <row r="27" spans="2:7" ht="12.75" thickBot="1">
      <c r="B27" s="14" t="s">
        <v>46</v>
      </c>
      <c r="C27" s="103">
        <v>0.03</v>
      </c>
      <c r="D27" s="104">
        <v>0</v>
      </c>
      <c r="E27" s="104">
        <v>0</v>
      </c>
      <c r="F27" s="104">
        <v>0</v>
      </c>
      <c r="G27" s="12"/>
    </row>
    <row r="28" spans="2:7" ht="12.75" thickBot="1">
      <c r="B28" s="14" t="s">
        <v>47</v>
      </c>
      <c r="C28" s="103">
        <v>0.03</v>
      </c>
      <c r="D28" s="104">
        <v>0</v>
      </c>
      <c r="E28" s="104">
        <v>0</v>
      </c>
      <c r="F28" s="104">
        <v>0</v>
      </c>
      <c r="G28" s="12"/>
    </row>
    <row r="29" spans="2:7" ht="12.75" thickBot="1">
      <c r="B29" s="14" t="s">
        <v>79</v>
      </c>
      <c r="C29" s="103">
        <v>0.03</v>
      </c>
      <c r="D29" s="104">
        <v>1.4999999999999999E-2</v>
      </c>
      <c r="E29" s="104">
        <v>1.4999999999999999E-2</v>
      </c>
      <c r="F29" s="104">
        <v>0</v>
      </c>
      <c r="G29" s="12"/>
    </row>
    <row r="30" spans="2:7" ht="24.75" thickBot="1">
      <c r="B30" s="14" t="s">
        <v>48</v>
      </c>
      <c r="C30" s="103">
        <v>0.03</v>
      </c>
      <c r="D30" s="7">
        <v>0.02</v>
      </c>
      <c r="E30" s="7">
        <v>0.01</v>
      </c>
      <c r="F30" s="7">
        <v>0</v>
      </c>
      <c r="G30" s="12"/>
    </row>
    <row r="31" spans="2:7" ht="24.75" thickBot="1">
      <c r="B31" s="15" t="s">
        <v>49</v>
      </c>
      <c r="C31" s="103">
        <v>0.03</v>
      </c>
      <c r="D31" s="8">
        <v>0.01</v>
      </c>
      <c r="E31" s="8">
        <v>0.01</v>
      </c>
      <c r="F31" s="8">
        <v>0</v>
      </c>
      <c r="G31" s="16"/>
    </row>
    <row r="32" spans="2:7" ht="12.75" thickBot="1">
      <c r="B32" s="46"/>
      <c r="C32" s="48">
        <f>SUM(C3:C31)</f>
        <v>1.0000000000000004</v>
      </c>
      <c r="D32" s="45">
        <f>SUM(D3:D31)</f>
        <v>0.32500000000000007</v>
      </c>
      <c r="E32" s="45">
        <f t="shared" ref="E32" si="0">SUM(E3:E31)</f>
        <v>0.26500000000000007</v>
      </c>
      <c r="F32" s="45">
        <f t="shared" ref="F32" si="1">SUM(F3:F31)</f>
        <v>0.10000000000000002</v>
      </c>
      <c r="G32" s="47"/>
    </row>
  </sheetData>
  <pageMargins left="0.7" right="0.7" top="0.78740157499999996" bottom="0.78740157499999996" header="0.3" footer="0.3"/>
  <pageSetup paperSize="8"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pane xSplit="6" ySplit="1" topLeftCell="G2" activePane="bottomRight" state="frozen"/>
      <selection pane="topRight" activeCell="G1" sqref="G1"/>
      <selection pane="bottomLeft" activeCell="A2" sqref="A2"/>
      <selection pane="bottomRight" sqref="A1:A1048576"/>
    </sheetView>
  </sheetViews>
  <sheetFormatPr baseColWidth="10" defaultColWidth="12.7109375" defaultRowHeight="12" outlineLevelRow="1" outlineLevelCol="1"/>
  <cols>
    <col min="1" max="5" width="11.7109375" style="141" customWidth="1" outlineLevel="1"/>
    <col min="6" max="6" width="13.7109375" style="141" customWidth="1"/>
    <col min="7" max="8" width="12.28515625" style="17" customWidth="1"/>
    <col min="9" max="13" width="12.85546875" style="17" bestFit="1" customWidth="1"/>
    <col min="14" max="14" width="13.28515625" style="17" bestFit="1" customWidth="1"/>
    <col min="15" max="15" width="11.7109375" style="129" customWidth="1"/>
    <col min="16" max="16384" width="12.7109375" style="17"/>
  </cols>
  <sheetData>
    <row r="1" spans="1:15" s="79" customFormat="1" ht="24.75" thickBot="1">
      <c r="A1" s="131" t="s">
        <v>556</v>
      </c>
      <c r="B1" s="130" t="s">
        <v>580</v>
      </c>
      <c r="C1" s="131" t="s">
        <v>659</v>
      </c>
      <c r="D1" s="131"/>
      <c r="E1" s="156" t="s">
        <v>595</v>
      </c>
      <c r="F1" s="155">
        <f>G26</f>
        <v>7128285.2207810525</v>
      </c>
      <c r="G1" s="109">
        <v>2016</v>
      </c>
      <c r="H1" s="78">
        <f>G1+1</f>
        <v>2017</v>
      </c>
      <c r="I1" s="78">
        <f t="shared" ref="I1:N1" si="0">H1+1</f>
        <v>2018</v>
      </c>
      <c r="J1" s="78">
        <f t="shared" si="0"/>
        <v>2019</v>
      </c>
      <c r="K1" s="78">
        <f t="shared" si="0"/>
        <v>2020</v>
      </c>
      <c r="L1" s="78">
        <f t="shared" si="0"/>
        <v>2021</v>
      </c>
      <c r="M1" s="78">
        <f t="shared" si="0"/>
        <v>2022</v>
      </c>
      <c r="N1" s="78">
        <f t="shared" si="0"/>
        <v>2023</v>
      </c>
      <c r="O1" s="109" t="s">
        <v>23</v>
      </c>
    </row>
    <row r="2" spans="1:15" s="79" customFormat="1" ht="12.75">
      <c r="A2" s="162"/>
      <c r="B2" s="165" t="s">
        <v>600</v>
      </c>
      <c r="C2" s="162"/>
      <c r="D2" s="166" t="s">
        <v>601</v>
      </c>
      <c r="E2" s="163"/>
      <c r="F2" s="161"/>
      <c r="G2" s="164"/>
      <c r="H2" s="108"/>
      <c r="I2" s="108"/>
      <c r="J2" s="108"/>
      <c r="K2" s="108"/>
      <c r="L2" s="108"/>
      <c r="M2" s="108"/>
      <c r="N2" s="108"/>
      <c r="O2" s="164"/>
    </row>
    <row r="3" spans="1:15" s="111" customFormat="1" ht="60" outlineLevel="1">
      <c r="A3" s="150" t="s">
        <v>9</v>
      </c>
      <c r="B3" s="150" t="s">
        <v>554</v>
      </c>
      <c r="C3" s="150" t="s">
        <v>553</v>
      </c>
      <c r="D3" s="150" t="s">
        <v>582</v>
      </c>
      <c r="E3" s="151" t="s">
        <v>649</v>
      </c>
      <c r="F3" s="118" t="s">
        <v>581</v>
      </c>
      <c r="G3" s="110">
        <f>10/12</f>
        <v>0.83333333333333337</v>
      </c>
      <c r="H3" s="110">
        <f>G3+1</f>
        <v>1.8333333333333335</v>
      </c>
      <c r="I3" s="110">
        <f t="shared" ref="I3:N3" si="1">H3+1</f>
        <v>2.8333333333333335</v>
      </c>
      <c r="J3" s="110">
        <f t="shared" si="1"/>
        <v>3.8333333333333335</v>
      </c>
      <c r="K3" s="110">
        <f t="shared" si="1"/>
        <v>4.8333333333333339</v>
      </c>
      <c r="L3" s="110">
        <f t="shared" si="1"/>
        <v>5.8333333333333339</v>
      </c>
      <c r="M3" s="110">
        <f t="shared" si="1"/>
        <v>6.8333333333333339</v>
      </c>
      <c r="N3" s="110">
        <f t="shared" si="1"/>
        <v>7.8333333333333339</v>
      </c>
      <c r="O3" s="110">
        <f>N3</f>
        <v>7.8333333333333339</v>
      </c>
    </row>
    <row r="4" spans="1:15" s="111" customFormat="1" outlineLevel="1">
      <c r="A4" s="150"/>
      <c r="B4" s="150"/>
      <c r="C4" s="150"/>
      <c r="D4" s="150"/>
      <c r="E4" s="151"/>
      <c r="F4" s="118" t="s">
        <v>652</v>
      </c>
      <c r="G4" s="110"/>
      <c r="H4" s="266">
        <v>5.0000000000000001E-4</v>
      </c>
      <c r="I4" s="266">
        <f>0.05%*2</f>
        <v>1E-3</v>
      </c>
      <c r="J4" s="266">
        <f t="shared" ref="J4:N4" si="2">I4+$C$5</f>
        <v>1.75E-3</v>
      </c>
      <c r="K4" s="266">
        <f t="shared" si="2"/>
        <v>2.5000000000000001E-3</v>
      </c>
      <c r="L4" s="266">
        <f t="shared" si="2"/>
        <v>3.2500000000000003E-3</v>
      </c>
      <c r="M4" s="266">
        <f t="shared" si="2"/>
        <v>4.0000000000000001E-3</v>
      </c>
      <c r="N4" s="266">
        <f t="shared" si="2"/>
        <v>4.7499999999999999E-3</v>
      </c>
      <c r="O4" s="110"/>
    </row>
    <row r="5" spans="1:15" s="111" customFormat="1" ht="48">
      <c r="A5" s="152" t="s">
        <v>593</v>
      </c>
      <c r="B5" s="219">
        <f>Company!E23</f>
        <v>32656152.112000003</v>
      </c>
      <c r="C5" s="220">
        <f>D5/10</f>
        <v>7.5000000000000002E-4</v>
      </c>
      <c r="D5" s="221">
        <v>7.4999999999999997E-3</v>
      </c>
      <c r="E5" s="218">
        <v>3.3000000000000002E-2</v>
      </c>
      <c r="F5" s="125" t="s">
        <v>561</v>
      </c>
      <c r="G5" s="110">
        <v>0</v>
      </c>
      <c r="H5" s="112">
        <f>($B$5*(1+$E$5)^H3)*H4</f>
        <v>17329.482909953265</v>
      </c>
      <c r="I5" s="112">
        <f t="shared" ref="I5:N5" si="3">($B$5*(1+$E$5)^I3)*I4</f>
        <v>35802.711691963443</v>
      </c>
      <c r="J5" s="112">
        <f t="shared" si="3"/>
        <v>64722.352061146914</v>
      </c>
      <c r="K5" s="112">
        <f t="shared" si="3"/>
        <v>95511.699541663926</v>
      </c>
      <c r="L5" s="112">
        <f t="shared" si="3"/>
        <v>128262.66131450051</v>
      </c>
      <c r="M5" s="112">
        <f t="shared" si="3"/>
        <v>163071.17432354335</v>
      </c>
      <c r="N5" s="112">
        <f t="shared" si="3"/>
        <v>200037.37115301157</v>
      </c>
      <c r="O5" s="113"/>
    </row>
    <row r="6" spans="1:15" s="111" customFormat="1" ht="36">
      <c r="A6" s="118"/>
      <c r="B6" s="174"/>
      <c r="C6" s="118"/>
      <c r="D6" s="136"/>
      <c r="E6" s="265"/>
      <c r="F6" s="133" t="s">
        <v>21</v>
      </c>
      <c r="G6" s="114"/>
      <c r="H6" s="114"/>
      <c r="I6" s="115">
        <f>I5/H5-1</f>
        <v>1.0659999999999998</v>
      </c>
      <c r="J6" s="115">
        <f>J5/I5-1</f>
        <v>0.80774999999999997</v>
      </c>
      <c r="K6" s="115">
        <f t="shared" ref="K6:N6" si="4">K5/J5-1</f>
        <v>0.47571428571428531</v>
      </c>
      <c r="L6" s="115">
        <f t="shared" si="4"/>
        <v>0.3429000000000002</v>
      </c>
      <c r="M6" s="115">
        <f t="shared" si="4"/>
        <v>0.27138461538461489</v>
      </c>
      <c r="N6" s="115">
        <f t="shared" si="4"/>
        <v>0.22668749999999993</v>
      </c>
      <c r="O6" s="113"/>
    </row>
    <row r="7" spans="1:15" s="111" customFormat="1">
      <c r="A7" s="153" t="s">
        <v>562</v>
      </c>
      <c r="B7" s="222">
        <v>499</v>
      </c>
      <c r="C7" s="134" t="s">
        <v>583</v>
      </c>
      <c r="D7" s="135">
        <v>1.7999999999999999E-2</v>
      </c>
      <c r="E7" s="118"/>
      <c r="F7" s="125" t="s">
        <v>13</v>
      </c>
      <c r="G7" s="116">
        <f>G5*$B$7*(1+$D$7)^G3</f>
        <v>0</v>
      </c>
      <c r="H7" s="116">
        <f>H5*$B$7*(1+$D$7)^H3</f>
        <v>8934914.6725229155</v>
      </c>
      <c r="I7" s="116">
        <f t="shared" ref="I7:N7" si="5">I5*$B$7*(1+$D$7)^I3</f>
        <v>18791805.320274126</v>
      </c>
      <c r="J7" s="116">
        <f t="shared" si="5"/>
        <v>34582362.01694461</v>
      </c>
      <c r="K7" s="116">
        <f t="shared" si="5"/>
        <v>51952292.004066914</v>
      </c>
      <c r="L7" s="116">
        <f t="shared" si="5"/>
        <v>71022534.12504217</v>
      </c>
      <c r="M7" s="116">
        <f t="shared" si="5"/>
        <v>91922302.462387159</v>
      </c>
      <c r="N7" s="116">
        <f t="shared" si="5"/>
        <v>114789618.31106248</v>
      </c>
      <c r="O7" s="113"/>
    </row>
    <row r="8" spans="1:15" s="111" customFormat="1" ht="24">
      <c r="A8" s="132" t="s">
        <v>564</v>
      </c>
      <c r="B8" s="223">
        <v>0.42499999999999999</v>
      </c>
      <c r="C8" s="118"/>
      <c r="D8" s="118"/>
      <c r="E8" s="118"/>
      <c r="F8" s="133" t="s">
        <v>563</v>
      </c>
      <c r="G8" s="117">
        <f>-G7*(1-$B$8)</f>
        <v>0</v>
      </c>
      <c r="H8" s="117">
        <f t="shared" ref="H8:N8" si="6">-H7*(1-$B$8)</f>
        <v>-5137575.9367006756</v>
      </c>
      <c r="I8" s="117">
        <f t="shared" si="6"/>
        <v>-10805288.059157621</v>
      </c>
      <c r="J8" s="117">
        <f t="shared" si="6"/>
        <v>-19884858.159743149</v>
      </c>
      <c r="K8" s="117">
        <f t="shared" si="6"/>
        <v>-29872567.902338475</v>
      </c>
      <c r="L8" s="117">
        <f t="shared" si="6"/>
        <v>-40837957.121899247</v>
      </c>
      <c r="M8" s="117">
        <f t="shared" si="6"/>
        <v>-52855323.915872611</v>
      </c>
      <c r="N8" s="117">
        <f t="shared" si="6"/>
        <v>-66004030.528860927</v>
      </c>
      <c r="O8" s="113"/>
    </row>
    <row r="9" spans="1:15" s="111" customFormat="1" ht="48" outlineLevel="1">
      <c r="A9" s="132" t="s">
        <v>604</v>
      </c>
      <c r="B9" s="224">
        <v>300000</v>
      </c>
      <c r="C9" s="136">
        <v>280000</v>
      </c>
      <c r="D9" s="118" t="s">
        <v>660</v>
      </c>
      <c r="E9" s="118" t="s">
        <v>584</v>
      </c>
      <c r="F9" s="154" t="s">
        <v>14</v>
      </c>
      <c r="G9" s="119">
        <v>5</v>
      </c>
      <c r="H9" s="28">
        <f>MAX(G9,ROUND(H7/$B$9,0))</f>
        <v>30</v>
      </c>
      <c r="I9" s="28">
        <f t="shared" ref="I9:N9" si="7">MAX(H9,ROUND(I7/$B$9,0))</f>
        <v>63</v>
      </c>
      <c r="J9" s="28">
        <f t="shared" si="7"/>
        <v>115</v>
      </c>
      <c r="K9" s="28">
        <f t="shared" si="7"/>
        <v>173</v>
      </c>
      <c r="L9" s="28">
        <f t="shared" si="7"/>
        <v>237</v>
      </c>
      <c r="M9" s="28">
        <f t="shared" si="7"/>
        <v>306</v>
      </c>
      <c r="N9" s="28">
        <f t="shared" si="7"/>
        <v>383</v>
      </c>
      <c r="O9" s="113"/>
    </row>
    <row r="10" spans="1:15" s="111" customFormat="1" ht="36">
      <c r="A10" s="132" t="s">
        <v>594</v>
      </c>
      <c r="B10" s="225">
        <v>2000</v>
      </c>
      <c r="C10" s="137" t="s">
        <v>585</v>
      </c>
      <c r="D10" s="205">
        <v>0.04</v>
      </c>
      <c r="E10" s="118"/>
      <c r="F10" s="133" t="s">
        <v>15</v>
      </c>
      <c r="G10" s="120">
        <f>-G9*$B$10*10*(1+$D$10)^G3</f>
        <v>-103322.39140918234</v>
      </c>
      <c r="H10" s="120">
        <f>-H9*$B$10*12*(1+$D$10)^H3</f>
        <v>-773678.06687195739</v>
      </c>
      <c r="I10" s="120">
        <f t="shared" ref="I10:N10" si="8">-I9*$B$10*12*(1+$D$10)^I3</f>
        <v>-1689712.8980483545</v>
      </c>
      <c r="J10" s="120">
        <f t="shared" si="8"/>
        <v>-3207772.4223267175</v>
      </c>
      <c r="K10" s="120">
        <f t="shared" si="8"/>
        <v>-5018629.6889132448</v>
      </c>
      <c r="L10" s="120">
        <f t="shared" si="8"/>
        <v>-7150241.8827938531</v>
      </c>
      <c r="M10" s="120">
        <f t="shared" si="8"/>
        <v>-9601236.1889464818</v>
      </c>
      <c r="N10" s="120">
        <f t="shared" si="8"/>
        <v>-12497922.871833865</v>
      </c>
      <c r="O10" s="113"/>
    </row>
    <row r="11" spans="1:15" s="111" customFormat="1" ht="36">
      <c r="A11" s="132" t="s">
        <v>587</v>
      </c>
      <c r="B11" s="221">
        <v>0.15</v>
      </c>
      <c r="C11" s="137" t="s">
        <v>586</v>
      </c>
      <c r="D11" s="205">
        <f>-B11/20</f>
        <v>-7.4999999999999997E-3</v>
      </c>
      <c r="E11" s="138"/>
      <c r="F11" s="133" t="s">
        <v>567</v>
      </c>
      <c r="G11" s="122">
        <f>H11*10%</f>
        <v>-121738.21241312473</v>
      </c>
      <c r="H11" s="122">
        <f>-H7*($B$11+$D$11*H3)</f>
        <v>-1217382.1241312472</v>
      </c>
      <c r="I11" s="122">
        <f>-I7*($B$11+$D$11*I3)</f>
        <v>-2419444.9349852935</v>
      </c>
      <c r="J11" s="122">
        <f>-J7*($B$11+$D$11*J3)</f>
        <v>-4193111.394554534</v>
      </c>
      <c r="K11" s="122">
        <f t="shared" ref="K11:N11" si="9">-K7*($B$11+$D$11*K3)</f>
        <v>-5909573.2154626111</v>
      </c>
      <c r="L11" s="122">
        <f t="shared" si="9"/>
        <v>-7546144.2507857298</v>
      </c>
      <c r="M11" s="122">
        <f t="shared" si="9"/>
        <v>-9077327.3681607302</v>
      </c>
      <c r="N11" s="122">
        <f t="shared" si="9"/>
        <v>-10474552.670884451</v>
      </c>
      <c r="O11" s="113"/>
    </row>
    <row r="12" spans="1:15" s="106" customFormat="1" ht="36">
      <c r="A12" s="132" t="s">
        <v>587</v>
      </c>
      <c r="B12" s="221">
        <v>0.01</v>
      </c>
      <c r="C12" s="137"/>
      <c r="D12" s="138"/>
      <c r="E12" s="139"/>
      <c r="F12" s="133" t="s">
        <v>568</v>
      </c>
      <c r="G12" s="122">
        <f>H12*10%</f>
        <v>-8934.9146725229166</v>
      </c>
      <c r="H12" s="122">
        <f>-H7*$B$12</f>
        <v>-89349.146725229162</v>
      </c>
      <c r="I12" s="122">
        <f t="shared" ref="I12:N12" si="10">-I7*$B$12</f>
        <v>-187918.05320274126</v>
      </c>
      <c r="J12" s="122">
        <f t="shared" si="10"/>
        <v>-345823.62016944611</v>
      </c>
      <c r="K12" s="122">
        <f t="shared" si="10"/>
        <v>-519522.92004066915</v>
      </c>
      <c r="L12" s="122">
        <f t="shared" si="10"/>
        <v>-710225.34125042171</v>
      </c>
      <c r="M12" s="122">
        <f t="shared" si="10"/>
        <v>-919223.02462387166</v>
      </c>
      <c r="N12" s="122">
        <f t="shared" si="10"/>
        <v>-1147896.1831106248</v>
      </c>
      <c r="O12" s="113"/>
    </row>
    <row r="13" spans="1:15" ht="24">
      <c r="A13" s="132" t="s">
        <v>587</v>
      </c>
      <c r="B13" s="221">
        <v>0.05</v>
      </c>
      <c r="C13" s="140"/>
      <c r="D13" s="140"/>
      <c r="E13" s="140"/>
      <c r="F13" s="133" t="s">
        <v>569</v>
      </c>
      <c r="G13" s="122">
        <f>-G7*$B$13</f>
        <v>0</v>
      </c>
      <c r="H13" s="122">
        <f>-H7*$B$13</f>
        <v>-446745.73362614581</v>
      </c>
      <c r="I13" s="122">
        <f t="shared" ref="I13:N13" si="11">-I7*$B$13</f>
        <v>-939590.26601370634</v>
      </c>
      <c r="J13" s="122">
        <f t="shared" si="11"/>
        <v>-1729118.1008472305</v>
      </c>
      <c r="K13" s="122">
        <f t="shared" si="11"/>
        <v>-2597614.600203346</v>
      </c>
      <c r="L13" s="122">
        <f t="shared" si="11"/>
        <v>-3551126.7062521088</v>
      </c>
      <c r="M13" s="122">
        <f t="shared" si="11"/>
        <v>-4596115.123119358</v>
      </c>
      <c r="N13" s="122">
        <f t="shared" si="11"/>
        <v>-5739480.9155531246</v>
      </c>
      <c r="O13" s="113"/>
    </row>
    <row r="14" spans="1:15" ht="48.75" thickBot="1">
      <c r="A14" s="132" t="s">
        <v>633</v>
      </c>
      <c r="B14" s="201">
        <f>200*12</f>
        <v>2400</v>
      </c>
      <c r="C14" s="137" t="s">
        <v>565</v>
      </c>
      <c r="D14" s="205">
        <v>0.02</v>
      </c>
      <c r="E14" s="140"/>
      <c r="F14" s="133" t="s">
        <v>566</v>
      </c>
      <c r="G14" s="148">
        <f>-$B$14*G9*G3/1*(1+$D$14)^G3</f>
        <v>-10166.391026269777</v>
      </c>
      <c r="H14" s="148">
        <f t="shared" ref="H14:N14" si="12">-$B$14*H9*(1+$D$14)^H3</f>
        <v>-74661.975696925248</v>
      </c>
      <c r="I14" s="148">
        <f t="shared" si="12"/>
        <v>-159925.95194281387</v>
      </c>
      <c r="J14" s="148">
        <f t="shared" si="12"/>
        <v>-297766.89147447725</v>
      </c>
      <c r="K14" s="148">
        <f t="shared" si="12"/>
        <v>-456903.87538770656</v>
      </c>
      <c r="L14" s="148">
        <f t="shared" si="12"/>
        <v>-638450.53662557341</v>
      </c>
      <c r="M14" s="148">
        <f t="shared" si="12"/>
        <v>-840815.11177879316</v>
      </c>
      <c r="N14" s="148">
        <f t="shared" si="12"/>
        <v>-1073440.6260375925</v>
      </c>
      <c r="O14" s="113"/>
    </row>
    <row r="15" spans="1:15" ht="12.75" thickTop="1">
      <c r="A15" s="140"/>
      <c r="B15" s="143"/>
      <c r="C15" s="143"/>
      <c r="D15" s="143"/>
      <c r="E15" s="140"/>
      <c r="F15" s="125" t="s">
        <v>570</v>
      </c>
      <c r="G15" s="124">
        <f>G8+G10+G11+G12+G13+G14</f>
        <v>-244161.90952109979</v>
      </c>
      <c r="H15" s="124">
        <f t="shared" ref="H15:N15" si="13">H8+H10+H11+H12+H13+H14</f>
        <v>-7739392.9837521808</v>
      </c>
      <c r="I15" s="124">
        <f t="shared" si="13"/>
        <v>-16201880.16335053</v>
      </c>
      <c r="J15" s="124">
        <f t="shared" si="13"/>
        <v>-29658450.589115553</v>
      </c>
      <c r="K15" s="124">
        <f t="shared" si="13"/>
        <v>-44374812.202346042</v>
      </c>
      <c r="L15" s="124">
        <f t="shared" si="13"/>
        <v>-60434145.839606926</v>
      </c>
      <c r="M15" s="124">
        <f t="shared" si="13"/>
        <v>-77890040.732501835</v>
      </c>
      <c r="N15" s="124">
        <f t="shared" si="13"/>
        <v>-96937323.796280578</v>
      </c>
      <c r="O15" s="113"/>
    </row>
    <row r="16" spans="1:15" ht="24">
      <c r="A16" s="138"/>
      <c r="B16" s="140"/>
      <c r="C16" s="140"/>
      <c r="D16" s="140"/>
      <c r="E16" s="140"/>
      <c r="F16" s="125" t="s">
        <v>572</v>
      </c>
      <c r="G16" s="124">
        <f>G7+G15</f>
        <v>-244161.90952109979</v>
      </c>
      <c r="H16" s="124">
        <f t="shared" ref="H16:N16" si="14">H7+H15</f>
        <v>1195521.6887707347</v>
      </c>
      <c r="I16" s="124">
        <f t="shared" si="14"/>
        <v>2589925.1569235958</v>
      </c>
      <c r="J16" s="124">
        <f t="shared" si="14"/>
        <v>4923911.427829057</v>
      </c>
      <c r="K16" s="124">
        <f t="shared" si="14"/>
        <v>7577479.8017208725</v>
      </c>
      <c r="L16" s="124">
        <f t="shared" si="14"/>
        <v>10588388.285435244</v>
      </c>
      <c r="M16" s="124">
        <f t="shared" si="14"/>
        <v>14032261.729885325</v>
      </c>
      <c r="N16" s="124">
        <f t="shared" si="14"/>
        <v>17852294.514781907</v>
      </c>
      <c r="O16" s="113"/>
    </row>
    <row r="17" spans="1:15" ht="24">
      <c r="A17" s="132" t="s">
        <v>590</v>
      </c>
      <c r="B17" s="215">
        <v>10000000</v>
      </c>
      <c r="C17" s="140" t="s">
        <v>591</v>
      </c>
      <c r="D17" s="226">
        <v>20</v>
      </c>
      <c r="E17" s="140"/>
      <c r="F17" s="125" t="s">
        <v>588</v>
      </c>
      <c r="G17" s="123">
        <f>-$B$17/$D$17*G3</f>
        <v>-416666.66666666669</v>
      </c>
      <c r="H17" s="123">
        <f t="shared" ref="H17:N17" si="15">-$B$17/$D$17</f>
        <v>-500000</v>
      </c>
      <c r="I17" s="123">
        <f t="shared" si="15"/>
        <v>-500000</v>
      </c>
      <c r="J17" s="123">
        <f t="shared" si="15"/>
        <v>-500000</v>
      </c>
      <c r="K17" s="123">
        <f t="shared" si="15"/>
        <v>-500000</v>
      </c>
      <c r="L17" s="123">
        <f t="shared" si="15"/>
        <v>-500000</v>
      </c>
      <c r="M17" s="123">
        <f t="shared" si="15"/>
        <v>-500000</v>
      </c>
      <c r="N17" s="123">
        <f t="shared" si="15"/>
        <v>-500000</v>
      </c>
      <c r="O17" s="113"/>
    </row>
    <row r="18" spans="1:15" ht="36">
      <c r="A18" s="132" t="s">
        <v>589</v>
      </c>
      <c r="B18" s="205">
        <v>0.3</v>
      </c>
      <c r="C18" s="140"/>
      <c r="D18" s="140"/>
      <c r="E18" s="140"/>
      <c r="F18" s="125" t="s">
        <v>571</v>
      </c>
      <c r="G18" s="120">
        <f>IF(G16+G17&gt;0,-(G16+G17)*$B$18,0)</f>
        <v>0</v>
      </c>
      <c r="H18" s="120">
        <f>IF(H16+H17&gt;0,-(H16+H17)*$B$18,0)</f>
        <v>-208656.5066312204</v>
      </c>
      <c r="I18" s="120">
        <f t="shared" ref="I18:N18" si="16">IF(I16+I17&gt;0,-(I16+I17)*$B$18,0)</f>
        <v>-626977.54707707872</v>
      </c>
      <c r="J18" s="120">
        <f t="shared" si="16"/>
        <v>-1327173.428348717</v>
      </c>
      <c r="K18" s="120">
        <f t="shared" si="16"/>
        <v>-2123243.9405162618</v>
      </c>
      <c r="L18" s="120">
        <f t="shared" si="16"/>
        <v>-3026516.4856305732</v>
      </c>
      <c r="M18" s="120">
        <f t="shared" si="16"/>
        <v>-4059678.5189655973</v>
      </c>
      <c r="N18" s="120">
        <f t="shared" si="16"/>
        <v>-5205688.3544345722</v>
      </c>
      <c r="O18" s="113"/>
    </row>
    <row r="19" spans="1:15">
      <c r="A19" s="138"/>
      <c r="B19" s="137"/>
      <c r="C19" s="137"/>
      <c r="D19" s="140"/>
      <c r="E19" s="140"/>
      <c r="F19" s="125" t="s">
        <v>573</v>
      </c>
      <c r="G19" s="124">
        <f>G16+G17+G18</f>
        <v>-660828.57618776651</v>
      </c>
      <c r="H19" s="124">
        <f t="shared" ref="H19:N19" si="17">H16+H17+H18</f>
        <v>486865.18213951431</v>
      </c>
      <c r="I19" s="124">
        <f t="shared" si="17"/>
        <v>1462947.609846517</v>
      </c>
      <c r="J19" s="124">
        <f t="shared" si="17"/>
        <v>3096737.9994803397</v>
      </c>
      <c r="K19" s="124">
        <f t="shared" si="17"/>
        <v>4954235.8612046111</v>
      </c>
      <c r="L19" s="124">
        <f t="shared" si="17"/>
        <v>7061871.7998046707</v>
      </c>
      <c r="M19" s="124">
        <f t="shared" si="17"/>
        <v>9472583.2109197266</v>
      </c>
      <c r="N19" s="124">
        <f t="shared" si="17"/>
        <v>12146606.160347335</v>
      </c>
      <c r="O19" s="113"/>
    </row>
    <row r="20" spans="1:15">
      <c r="A20" s="142"/>
      <c r="B20" s="142"/>
      <c r="C20" s="137"/>
      <c r="D20" s="140"/>
      <c r="E20" s="140"/>
      <c r="F20" s="133" t="s">
        <v>25</v>
      </c>
      <c r="G20" s="28"/>
      <c r="H20" s="115">
        <f>H19/H7</f>
        <v>5.4490188209266932E-2</v>
      </c>
      <c r="I20" s="115">
        <f t="shared" ref="I20:N20" si="18">I19/I7</f>
        <v>7.7850296175012532E-2</v>
      </c>
      <c r="J20" s="115">
        <f t="shared" si="18"/>
        <v>8.9546746343208278E-2</v>
      </c>
      <c r="K20" s="115">
        <f t="shared" si="18"/>
        <v>9.5361256839578606E-2</v>
      </c>
      <c r="L20" s="115">
        <f t="shared" si="18"/>
        <v>9.9431425346940591E-2</v>
      </c>
      <c r="M20" s="115">
        <f t="shared" si="18"/>
        <v>0.10304989058336224</v>
      </c>
      <c r="N20" s="115">
        <f t="shared" si="18"/>
        <v>0.1058162431329972</v>
      </c>
      <c r="O20" s="113"/>
    </row>
    <row r="21" spans="1:15" s="28" customFormat="1" ht="60">
      <c r="A21" s="101" t="s">
        <v>602</v>
      </c>
      <c r="B21" s="169">
        <v>0.15</v>
      </c>
      <c r="C21" s="137" t="s">
        <v>586</v>
      </c>
      <c r="D21" s="138">
        <f>-B21/10</f>
        <v>-1.4999999999999999E-2</v>
      </c>
      <c r="E21" s="140"/>
      <c r="F21" s="125" t="s">
        <v>592</v>
      </c>
      <c r="G21" s="120">
        <f>H21/6</f>
        <v>-220607.96454113477</v>
      </c>
      <c r="H21" s="120">
        <f>I8*($B$21+$D$21*H3)</f>
        <v>-1323647.7872468086</v>
      </c>
      <c r="I21" s="120">
        <f t="shared" ref="I21:L21" si="19">J8*($B$21+$D$21*I3)</f>
        <v>-2137622.2521723881</v>
      </c>
      <c r="J21" s="120">
        <f t="shared" si="19"/>
        <v>-2763212.5309663089</v>
      </c>
      <c r="K21" s="120">
        <f t="shared" si="19"/>
        <v>-3164941.6769471909</v>
      </c>
      <c r="L21" s="120">
        <f t="shared" si="19"/>
        <v>-3303457.7447420373</v>
      </c>
      <c r="M21" s="120">
        <f>N8*($B$21+$D$21*M3)</f>
        <v>-3135191.4501208933</v>
      </c>
      <c r="N21" s="120">
        <f>IF(N8*B22&gt;M21,N8*B22,M21*(1+D21))</f>
        <v>-3088163.5783690801</v>
      </c>
      <c r="O21" s="113"/>
    </row>
    <row r="22" spans="1:15" s="28" customFormat="1">
      <c r="A22" s="101" t="s">
        <v>24</v>
      </c>
      <c r="B22" s="138">
        <v>0.05</v>
      </c>
      <c r="C22" s="140"/>
      <c r="D22" s="140"/>
      <c r="E22" s="140"/>
      <c r="F22" s="125" t="s">
        <v>574</v>
      </c>
      <c r="G22" s="124">
        <f>G19-G17+G21</f>
        <v>-464769.87406223459</v>
      </c>
      <c r="H22" s="124">
        <f t="shared" ref="H22:N22" si="20">H19-H17+H21</f>
        <v>-336782.6051072944</v>
      </c>
      <c r="I22" s="124">
        <f t="shared" si="20"/>
        <v>-174674.64232587116</v>
      </c>
      <c r="J22" s="124">
        <f t="shared" si="20"/>
        <v>833525.4685140308</v>
      </c>
      <c r="K22" s="124">
        <f t="shared" si="20"/>
        <v>2289294.1842574202</v>
      </c>
      <c r="L22" s="124">
        <f t="shared" si="20"/>
        <v>4258414.055062633</v>
      </c>
      <c r="M22" s="124">
        <f t="shared" si="20"/>
        <v>6837391.7607988333</v>
      </c>
      <c r="N22" s="124">
        <f t="shared" si="20"/>
        <v>9558442.581978254</v>
      </c>
      <c r="O22" s="126">
        <f>N22*(1+B22)/(B24-B22)</f>
        <v>36495871.676644236</v>
      </c>
    </row>
    <row r="23" spans="1:15" s="107" customFormat="1" ht="24" outlineLevel="1">
      <c r="A23" s="139"/>
      <c r="B23" s="140"/>
      <c r="C23" s="140"/>
      <c r="D23" s="140"/>
      <c r="E23" s="140"/>
      <c r="F23" s="158" t="s">
        <v>596</v>
      </c>
      <c r="G23" s="120">
        <f>G22</f>
        <v>-464769.87406223459</v>
      </c>
      <c r="H23" s="120">
        <f>G23+H22</f>
        <v>-801552.47916952893</v>
      </c>
      <c r="I23" s="120">
        <f t="shared" ref="I23:N23" si="21">H23+I22</f>
        <v>-976227.12149540009</v>
      </c>
      <c r="J23" s="120">
        <f t="shared" si="21"/>
        <v>-142701.65298136929</v>
      </c>
      <c r="K23" s="120">
        <f t="shared" si="21"/>
        <v>2146592.531276051</v>
      </c>
      <c r="L23" s="120">
        <f t="shared" si="21"/>
        <v>6405006.586338684</v>
      </c>
      <c r="M23" s="120">
        <f t="shared" si="21"/>
        <v>13242398.347137518</v>
      </c>
      <c r="N23" s="120">
        <f t="shared" si="21"/>
        <v>22800840.929115772</v>
      </c>
      <c r="O23" s="124"/>
    </row>
    <row r="24" spans="1:15" s="28" customFormat="1" ht="24.75" thickBot="1">
      <c r="A24" s="101" t="s">
        <v>12</v>
      </c>
      <c r="B24" s="230">
        <f>Risk!D32</f>
        <v>0.32500000000000007</v>
      </c>
      <c r="C24" s="140"/>
      <c r="D24" s="140"/>
      <c r="E24" s="140"/>
      <c r="F24" s="145" t="s">
        <v>22</v>
      </c>
      <c r="G24" s="149">
        <f>1/(1+$B$24)^G3</f>
        <v>0.79095802143826444</v>
      </c>
      <c r="H24" s="149">
        <f t="shared" ref="H24:N24" si="22">1/(1+$B$24)^H3</f>
        <v>0.59694945014208622</v>
      </c>
      <c r="I24" s="149">
        <f t="shared" si="22"/>
        <v>0.45052788689968765</v>
      </c>
      <c r="J24" s="149">
        <f t="shared" si="22"/>
        <v>0.34002104671674532</v>
      </c>
      <c r="K24" s="149">
        <f t="shared" si="22"/>
        <v>0.25661965789943042</v>
      </c>
      <c r="L24" s="149">
        <f t="shared" si="22"/>
        <v>0.19367521350900405</v>
      </c>
      <c r="M24" s="149">
        <f t="shared" si="22"/>
        <v>0.14616997245962571</v>
      </c>
      <c r="N24" s="149">
        <f t="shared" si="22"/>
        <v>0.1103169603468873</v>
      </c>
      <c r="O24" s="149">
        <f>1/(1+$B$24)^O3</f>
        <v>0.1103169603468873</v>
      </c>
    </row>
    <row r="25" spans="1:15" s="107" customFormat="1" ht="12.75" thickTop="1">
      <c r="A25" s="139"/>
      <c r="B25" s="140"/>
      <c r="C25" s="140"/>
      <c r="D25" s="140"/>
      <c r="E25" s="140"/>
      <c r="F25" s="125" t="s">
        <v>16</v>
      </c>
      <c r="G25" s="124">
        <f>G22*G24</f>
        <v>-367613.46001237642</v>
      </c>
      <c r="H25" s="124">
        <f>H22*H24</f>
        <v>-201042.19093621874</v>
      </c>
      <c r="I25" s="124">
        <f t="shared" ref="I25:N25" si="23">I22*I24</f>
        <v>-78695.797502033471</v>
      </c>
      <c r="J25" s="124">
        <f t="shared" si="23"/>
        <v>283416.20226920629</v>
      </c>
      <c r="K25" s="124">
        <f t="shared" si="23"/>
        <v>587477.89039529476</v>
      </c>
      <c r="L25" s="124">
        <f t="shared" si="23"/>
        <v>824749.25132399914</v>
      </c>
      <c r="M25" s="124">
        <f t="shared" si="23"/>
        <v>999421.36537163716</v>
      </c>
      <c r="N25" s="124">
        <f t="shared" si="23"/>
        <v>1054458.3312940942</v>
      </c>
      <c r="O25" s="124">
        <f>O22*O24</f>
        <v>4026113.6285774494</v>
      </c>
    </row>
    <row r="26" spans="1:15" s="107" customFormat="1" ht="24">
      <c r="A26" s="139"/>
      <c r="B26" s="140"/>
      <c r="C26" s="140"/>
      <c r="D26" s="140"/>
      <c r="E26" s="140"/>
      <c r="F26" s="146" t="s">
        <v>77</v>
      </c>
      <c r="G26" s="124">
        <f>SUM(G25:O25)</f>
        <v>7128285.2207810525</v>
      </c>
      <c r="H26" s="124"/>
      <c r="I26" s="124"/>
      <c r="J26" s="124"/>
      <c r="K26" s="124"/>
      <c r="L26" s="124"/>
      <c r="M26" s="124"/>
      <c r="N26" s="124"/>
      <c r="O26" s="124"/>
    </row>
    <row r="27" spans="1:15" ht="24">
      <c r="A27" s="140"/>
      <c r="B27" s="140"/>
      <c r="C27" s="140"/>
      <c r="D27" s="140"/>
      <c r="E27" s="140"/>
      <c r="F27" s="147" t="s">
        <v>598</v>
      </c>
      <c r="G27" s="120">
        <f>MIN(G23:H23)</f>
        <v>-801552.47916952893</v>
      </c>
      <c r="I27" s="28"/>
      <c r="J27" s="28"/>
      <c r="K27" s="28"/>
      <c r="L27" s="28"/>
      <c r="M27" s="28"/>
      <c r="N27" s="28"/>
      <c r="O27" s="28"/>
    </row>
    <row r="28" spans="1:15" ht="24">
      <c r="A28" s="229"/>
      <c r="B28" s="229"/>
      <c r="C28" s="229"/>
      <c r="D28" s="229"/>
      <c r="E28" s="229"/>
      <c r="F28" s="146" t="s">
        <v>77</v>
      </c>
      <c r="G28" s="227">
        <f>G26+'2.INSTITUTIONAL'!G29</f>
        <v>15892035.009067716</v>
      </c>
      <c r="H28" s="228" t="s">
        <v>672</v>
      </c>
      <c r="I28" s="28"/>
      <c r="J28" s="28"/>
      <c r="K28" s="28"/>
      <c r="L28" s="28"/>
      <c r="M28" s="28"/>
      <c r="N28" s="28"/>
      <c r="O28" s="28"/>
    </row>
    <row r="29" spans="1:15" ht="24">
      <c r="A29" s="140"/>
      <c r="B29" s="140"/>
      <c r="C29" s="140"/>
      <c r="D29" s="140"/>
      <c r="E29" s="140"/>
      <c r="F29" s="147" t="s">
        <v>598</v>
      </c>
      <c r="G29" s="120">
        <f>G27+'2.INSTITUTIONAL'!G30</f>
        <v>-887886.48276769219</v>
      </c>
      <c r="H29" s="228"/>
      <c r="I29" s="28"/>
      <c r="J29" s="28"/>
      <c r="K29" s="28"/>
      <c r="L29" s="28"/>
      <c r="M29" s="28"/>
      <c r="N29" s="28"/>
      <c r="O29" s="28"/>
    </row>
    <row r="30" spans="1:15" ht="24">
      <c r="A30" s="140"/>
      <c r="B30" s="140"/>
      <c r="C30" s="140"/>
      <c r="D30" s="140"/>
      <c r="E30" s="140"/>
      <c r="F30" s="147" t="s">
        <v>17</v>
      </c>
      <c r="G30" s="124">
        <f>G28+G29</f>
        <v>15004148.526300024</v>
      </c>
      <c r="I30" s="28"/>
      <c r="J30" s="28"/>
      <c r="K30" s="28"/>
      <c r="L30" s="28"/>
      <c r="M30" s="28"/>
      <c r="N30" s="28"/>
      <c r="O30" s="28"/>
    </row>
    <row r="31" spans="1:15">
      <c r="A31" s="140"/>
      <c r="B31" s="140"/>
      <c r="C31" s="140"/>
      <c r="D31" s="140"/>
      <c r="E31" s="140"/>
      <c r="F31" s="147" t="s">
        <v>18</v>
      </c>
      <c r="G31" s="127">
        <f>-G29/G28</f>
        <v>5.5869904783187284E-2</v>
      </c>
      <c r="H31" s="28"/>
      <c r="I31" s="28"/>
      <c r="J31" s="28"/>
      <c r="K31" s="28"/>
      <c r="L31" s="28"/>
      <c r="M31" s="28"/>
      <c r="N31" s="28"/>
      <c r="O31" s="28"/>
    </row>
    <row r="32" spans="1:15" ht="48">
      <c r="A32" s="144" t="s">
        <v>597</v>
      </c>
      <c r="B32" s="159">
        <f>MIN(G23:N23)-G27+'2.INSTITUTIONAL'!B32</f>
        <v>-174674.64232587116</v>
      </c>
      <c r="C32" s="140" t="s">
        <v>599</v>
      </c>
      <c r="D32" s="160">
        <f>-B32/(I22*G24+J22*H24+K22*I24+L22*J24+M22*K24+N22*L24+O22*M24)</f>
        <v>1.4829079411304501E-2</v>
      </c>
      <c r="E32" s="140"/>
      <c r="F32" s="147" t="s">
        <v>19</v>
      </c>
      <c r="G32" s="128">
        <f>G31*(1+D32)</f>
        <v>5.6698404037919183E-2</v>
      </c>
      <c r="H32" s="28"/>
      <c r="I32" s="28"/>
      <c r="J32" s="28"/>
      <c r="K32" s="28"/>
      <c r="L32" s="28"/>
      <c r="M32" s="28"/>
      <c r="N32" s="28"/>
      <c r="O32" s="28"/>
    </row>
    <row r="34" spans="15:15">
      <c r="O34" s="17"/>
    </row>
    <row r="36" spans="15:15">
      <c r="O36" s="17"/>
    </row>
  </sheetData>
  <pageMargins left="0.7" right="0.7" top="0.78740157499999996" bottom="0.78740157499999996"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pane xSplit="6" ySplit="1" topLeftCell="G2" activePane="bottomRight" state="frozen"/>
      <selection pane="topRight" activeCell="G1" sqref="G1"/>
      <selection pane="bottomLeft" activeCell="A2" sqref="A2"/>
      <selection pane="bottomRight" activeCell="B11" sqref="B11"/>
    </sheetView>
  </sheetViews>
  <sheetFormatPr baseColWidth="10" defaultColWidth="12.7109375" defaultRowHeight="12" outlineLevelRow="1" outlineLevelCol="1"/>
  <cols>
    <col min="1" max="5" width="11.7109375" style="141" customWidth="1" outlineLevel="1"/>
    <col min="6" max="6" width="13.7109375" style="141" customWidth="1"/>
    <col min="7" max="10" width="12.28515625" style="17" customWidth="1"/>
    <col min="11" max="14" width="12.85546875" style="17" bestFit="1" customWidth="1"/>
    <col min="15" max="15" width="12.28515625" style="129" bestFit="1" customWidth="1"/>
    <col min="16" max="16384" width="12.7109375" style="17"/>
  </cols>
  <sheetData>
    <row r="1" spans="1:15" s="79" customFormat="1" ht="39.75" customHeight="1" thickBot="1">
      <c r="A1" s="170" t="s">
        <v>557</v>
      </c>
      <c r="B1" s="311" t="s">
        <v>606</v>
      </c>
      <c r="C1" s="311"/>
      <c r="D1" s="311"/>
      <c r="E1" s="171" t="s">
        <v>595</v>
      </c>
      <c r="F1" s="155">
        <f>G29</f>
        <v>8763749.7882866636</v>
      </c>
      <c r="G1" s="109">
        <v>2016</v>
      </c>
      <c r="H1" s="78">
        <f>G1+1</f>
        <v>2017</v>
      </c>
      <c r="I1" s="78">
        <f t="shared" ref="I1:N1" si="0">H1+1</f>
        <v>2018</v>
      </c>
      <c r="J1" s="78">
        <f t="shared" si="0"/>
        <v>2019</v>
      </c>
      <c r="K1" s="78">
        <f t="shared" si="0"/>
        <v>2020</v>
      </c>
      <c r="L1" s="78">
        <f t="shared" si="0"/>
        <v>2021</v>
      </c>
      <c r="M1" s="78">
        <f t="shared" si="0"/>
        <v>2022</v>
      </c>
      <c r="N1" s="78">
        <f t="shared" si="0"/>
        <v>2023</v>
      </c>
      <c r="O1" s="109" t="s">
        <v>23</v>
      </c>
    </row>
    <row r="2" spans="1:15" s="79" customFormat="1" ht="12.75">
      <c r="A2" s="162"/>
      <c r="B2" s="165" t="s">
        <v>600</v>
      </c>
      <c r="C2" s="162"/>
      <c r="D2" s="166" t="s">
        <v>605</v>
      </c>
      <c r="E2" s="163"/>
      <c r="F2" s="161"/>
      <c r="G2" s="164"/>
      <c r="H2" s="108"/>
      <c r="I2" s="108"/>
      <c r="J2" s="108"/>
      <c r="K2" s="108"/>
      <c r="L2" s="108"/>
      <c r="M2" s="108"/>
      <c r="N2" s="108"/>
      <c r="O2" s="164"/>
    </row>
    <row r="3" spans="1:15" s="79" customFormat="1" ht="12.75">
      <c r="A3" s="162"/>
      <c r="B3" s="165"/>
      <c r="C3" s="162"/>
      <c r="D3" s="166" t="s">
        <v>603</v>
      </c>
      <c r="E3" s="163"/>
      <c r="F3" s="161"/>
      <c r="G3" s="164"/>
      <c r="H3" s="108"/>
      <c r="I3" s="108"/>
      <c r="J3" s="108"/>
      <c r="K3" s="108"/>
      <c r="L3" s="108"/>
      <c r="M3" s="108"/>
      <c r="N3" s="108"/>
      <c r="O3" s="164"/>
    </row>
    <row r="4" spans="1:15" s="111" customFormat="1" ht="60" outlineLevel="1">
      <c r="A4" s="150" t="s">
        <v>9</v>
      </c>
      <c r="B4" s="150" t="s">
        <v>554</v>
      </c>
      <c r="C4" s="150" t="s">
        <v>553</v>
      </c>
      <c r="D4" s="150" t="s">
        <v>582</v>
      </c>
      <c r="E4" s="151" t="s">
        <v>622</v>
      </c>
      <c r="F4" s="118" t="s">
        <v>581</v>
      </c>
      <c r="G4" s="110">
        <f>9/12</f>
        <v>0.75</v>
      </c>
      <c r="H4" s="110">
        <f>G4+1</f>
        <v>1.75</v>
      </c>
      <c r="I4" s="110">
        <f t="shared" ref="I4:N4" si="1">H4+1</f>
        <v>2.75</v>
      </c>
      <c r="J4" s="110">
        <f t="shared" si="1"/>
        <v>3.75</v>
      </c>
      <c r="K4" s="110">
        <f t="shared" si="1"/>
        <v>4.75</v>
      </c>
      <c r="L4" s="110">
        <f t="shared" si="1"/>
        <v>5.75</v>
      </c>
      <c r="M4" s="110">
        <f t="shared" si="1"/>
        <v>6.75</v>
      </c>
      <c r="N4" s="110">
        <f t="shared" si="1"/>
        <v>7.75</v>
      </c>
      <c r="O4" s="110">
        <f>N4</f>
        <v>7.75</v>
      </c>
    </row>
    <row r="5" spans="1:15" s="111" customFormat="1" outlineLevel="1">
      <c r="A5" s="150"/>
      <c r="B5" s="150"/>
      <c r="C5" s="150"/>
      <c r="D5" s="150"/>
      <c r="E5" s="151"/>
      <c r="F5" s="118" t="s">
        <v>652</v>
      </c>
      <c r="G5" s="110"/>
      <c r="H5" s="266">
        <v>7.4999999999999997E-3</v>
      </c>
      <c r="I5" s="266">
        <f>H5*2</f>
        <v>1.4999999999999999E-2</v>
      </c>
      <c r="J5" s="266">
        <f t="shared" ref="J5:N5" si="2">$C$6+I5</f>
        <v>0.03</v>
      </c>
      <c r="K5" s="266">
        <f t="shared" si="2"/>
        <v>4.4999999999999998E-2</v>
      </c>
      <c r="L5" s="266">
        <f t="shared" si="2"/>
        <v>0.06</v>
      </c>
      <c r="M5" s="266">
        <f t="shared" si="2"/>
        <v>7.4999999999999997E-2</v>
      </c>
      <c r="N5" s="266">
        <f t="shared" si="2"/>
        <v>0.09</v>
      </c>
      <c r="O5" s="110"/>
    </row>
    <row r="6" spans="1:15" s="111" customFormat="1" ht="60">
      <c r="A6" s="152" t="s">
        <v>549</v>
      </c>
      <c r="B6" s="191">
        <f>321418820*50.8%*33%*20%*5%</f>
        <v>538826.50984800013</v>
      </c>
      <c r="C6" s="177">
        <f>D6/10</f>
        <v>1.4999999999999999E-2</v>
      </c>
      <c r="D6" s="193">
        <v>0.15</v>
      </c>
      <c r="E6" s="193">
        <v>0.04</v>
      </c>
      <c r="F6" s="157" t="s">
        <v>561</v>
      </c>
      <c r="G6" s="110">
        <v>0</v>
      </c>
      <c r="H6" s="112">
        <f>($B$6*(1+$E$6)^H4)*H5</f>
        <v>4328.3120297866963</v>
      </c>
      <c r="I6" s="112">
        <f>($B$6*(1+$E$6)^I4)*I5</f>
        <v>9002.8890219563291</v>
      </c>
      <c r="J6" s="112">
        <f t="shared" ref="J6:N6" si="3">($B$6*(1+$E$6)^J4)*J5</f>
        <v>18726.009165669162</v>
      </c>
      <c r="K6" s="112">
        <f t="shared" si="3"/>
        <v>29212.574298443898</v>
      </c>
      <c r="L6" s="112">
        <f t="shared" si="3"/>
        <v>40508.103027175544</v>
      </c>
      <c r="M6" s="112">
        <f t="shared" si="3"/>
        <v>52660.533935328196</v>
      </c>
      <c r="N6" s="112">
        <f t="shared" si="3"/>
        <v>65720.346351289598</v>
      </c>
      <c r="O6" s="113"/>
    </row>
    <row r="7" spans="1:15" s="111" customFormat="1" outlineLevel="1">
      <c r="A7" s="150"/>
      <c r="B7" s="150"/>
      <c r="C7" s="150"/>
      <c r="D7" s="150"/>
      <c r="E7" s="151"/>
      <c r="F7" s="118" t="s">
        <v>652</v>
      </c>
      <c r="G7" s="110"/>
      <c r="H7" s="266">
        <v>2E-3</v>
      </c>
      <c r="I7" s="266">
        <f>H7*2</f>
        <v>4.0000000000000001E-3</v>
      </c>
      <c r="J7" s="266">
        <f t="shared" ref="J7:N7" si="4">$C$8+I7</f>
        <v>7.5000000000000006E-3</v>
      </c>
      <c r="K7" s="266">
        <f t="shared" si="4"/>
        <v>1.1000000000000001E-2</v>
      </c>
      <c r="L7" s="266">
        <f t="shared" si="4"/>
        <v>1.4500000000000002E-2</v>
      </c>
      <c r="M7" s="266">
        <f t="shared" si="4"/>
        <v>1.8000000000000002E-2</v>
      </c>
      <c r="N7" s="266">
        <f t="shared" si="4"/>
        <v>2.1500000000000002E-2</v>
      </c>
      <c r="O7" s="110"/>
    </row>
    <row r="8" spans="1:15" s="111" customFormat="1" ht="72">
      <c r="A8" s="152" t="s">
        <v>550</v>
      </c>
      <c r="B8" s="209">
        <v>122838</v>
      </c>
      <c r="C8" s="177">
        <f>D8/10</f>
        <v>3.5000000000000005E-3</v>
      </c>
      <c r="D8" s="193">
        <v>3.5000000000000003E-2</v>
      </c>
      <c r="E8" s="193">
        <v>0.04</v>
      </c>
      <c r="F8" s="157"/>
      <c r="G8" s="110">
        <v>0</v>
      </c>
      <c r="H8" s="112">
        <f>($B$8*(1+$E$8)^H4)*H7</f>
        <v>263.13043049294782</v>
      </c>
      <c r="I8" s="112">
        <f t="shared" ref="I8:N8" si="5">($B$8*(1+$E$8)^I4)*I7</f>
        <v>547.31129542533142</v>
      </c>
      <c r="J8" s="112">
        <f t="shared" si="5"/>
        <v>1067.2570260793964</v>
      </c>
      <c r="K8" s="112">
        <f t="shared" si="5"/>
        <v>1627.9227171131063</v>
      </c>
      <c r="L8" s="112">
        <f t="shared" si="5"/>
        <v>2231.7340521877859</v>
      </c>
      <c r="M8" s="112">
        <f t="shared" si="5"/>
        <v>2881.2456177210584</v>
      </c>
      <c r="N8" s="112">
        <f t="shared" si="5"/>
        <v>3579.1473340134926</v>
      </c>
      <c r="O8" s="113"/>
    </row>
    <row r="9" spans="1:15" s="111" customFormat="1" ht="36">
      <c r="A9" s="80"/>
      <c r="B9" s="80"/>
      <c r="C9" s="80"/>
      <c r="D9" s="80"/>
      <c r="E9" s="80"/>
      <c r="F9" s="133" t="s">
        <v>21</v>
      </c>
      <c r="G9" s="114"/>
      <c r="H9" s="114"/>
      <c r="I9" s="115">
        <f>I6/H6-1</f>
        <v>1.08</v>
      </c>
      <c r="J9" s="115">
        <f>J6/I6-1</f>
        <v>1.0799999999999996</v>
      </c>
      <c r="K9" s="115">
        <f t="shared" ref="K9:N9" si="6">K6/J6-1</f>
        <v>0.56000000000000028</v>
      </c>
      <c r="L9" s="115">
        <f t="shared" si="6"/>
        <v>0.38666666666666694</v>
      </c>
      <c r="M9" s="115">
        <f t="shared" si="6"/>
        <v>0.29999999999999982</v>
      </c>
      <c r="N9" s="115">
        <f t="shared" si="6"/>
        <v>0.24800000000000022</v>
      </c>
      <c r="O9" s="113"/>
    </row>
    <row r="10" spans="1:15" s="111" customFormat="1">
      <c r="A10" s="153" t="s">
        <v>562</v>
      </c>
      <c r="B10" s="210">
        <v>499</v>
      </c>
      <c r="C10" s="134" t="s">
        <v>583</v>
      </c>
      <c r="D10" s="189">
        <v>1.7999999999999999E-2</v>
      </c>
      <c r="E10" s="118"/>
      <c r="F10" s="125" t="s">
        <v>13</v>
      </c>
      <c r="G10" s="116">
        <f>G6*$B$10*(1+$D$10)^G4</f>
        <v>0</v>
      </c>
      <c r="H10" s="116">
        <f>(H6+H8)*$B$10*(1+$D$10)^H4</f>
        <v>2363786.8008127143</v>
      </c>
      <c r="I10" s="116">
        <f t="shared" ref="I10:N10" si="7">(I6+I8)*$B$10*(1+$D$10)^I4</f>
        <v>5005176.7235128749</v>
      </c>
      <c r="J10" s="116">
        <f t="shared" si="7"/>
        <v>10560200.853141751</v>
      </c>
      <c r="K10" s="116">
        <f t="shared" si="7"/>
        <v>16750348.975012785</v>
      </c>
      <c r="L10" s="116">
        <f t="shared" si="7"/>
        <v>23631056.114263009</v>
      </c>
      <c r="M10" s="116">
        <f t="shared" si="7"/>
        <v>31262077.653467529</v>
      </c>
      <c r="N10" s="116">
        <f t="shared" si="7"/>
        <v>39707805.573321715</v>
      </c>
      <c r="O10" s="113"/>
    </row>
    <row r="11" spans="1:15" s="111" customFormat="1" ht="24">
      <c r="A11" s="132" t="s">
        <v>564</v>
      </c>
      <c r="B11" s="211">
        <v>0.5</v>
      </c>
      <c r="C11" s="118"/>
      <c r="D11" s="118"/>
      <c r="E11" s="118"/>
      <c r="F11" s="133" t="s">
        <v>563</v>
      </c>
      <c r="G11" s="117">
        <f>-G10*(1-$B$11)</f>
        <v>0</v>
      </c>
      <c r="H11" s="117">
        <f t="shared" ref="H11:N11" si="8">-H10*(1-$B$11)</f>
        <v>-1181893.4004063571</v>
      </c>
      <c r="I11" s="117">
        <f t="shared" si="8"/>
        <v>-2502588.3617564375</v>
      </c>
      <c r="J11" s="117">
        <f t="shared" si="8"/>
        <v>-5280100.4265708756</v>
      </c>
      <c r="K11" s="117">
        <f t="shared" si="8"/>
        <v>-8375174.4875063924</v>
      </c>
      <c r="L11" s="117">
        <f t="shared" si="8"/>
        <v>-11815528.057131505</v>
      </c>
      <c r="M11" s="117">
        <f t="shared" si="8"/>
        <v>-15631038.826733764</v>
      </c>
      <c r="N11" s="117">
        <f t="shared" si="8"/>
        <v>-19853902.786660857</v>
      </c>
      <c r="O11" s="113"/>
    </row>
    <row r="12" spans="1:15" s="111" customFormat="1" ht="54" hidden="1" customHeight="1" outlineLevel="1">
      <c r="A12" s="132" t="s">
        <v>604</v>
      </c>
      <c r="B12" s="212">
        <v>300000</v>
      </c>
      <c r="C12" s="175">
        <v>280000</v>
      </c>
      <c r="D12" s="118" t="s">
        <v>607</v>
      </c>
      <c r="E12" s="118" t="s">
        <v>584</v>
      </c>
      <c r="F12" s="154" t="s">
        <v>14</v>
      </c>
      <c r="G12" s="119">
        <v>0</v>
      </c>
      <c r="H12" s="28">
        <f t="shared" ref="H12:N12" si="9">MAX(G12,ROUND(H10/$B$12,0))</f>
        <v>8</v>
      </c>
      <c r="I12" s="28">
        <f t="shared" si="9"/>
        <v>17</v>
      </c>
      <c r="J12" s="28">
        <f t="shared" si="9"/>
        <v>35</v>
      </c>
      <c r="K12" s="28">
        <f t="shared" si="9"/>
        <v>56</v>
      </c>
      <c r="L12" s="28">
        <f t="shared" si="9"/>
        <v>79</v>
      </c>
      <c r="M12" s="28">
        <f t="shared" si="9"/>
        <v>104</v>
      </c>
      <c r="N12" s="28">
        <f t="shared" si="9"/>
        <v>132</v>
      </c>
      <c r="O12" s="113"/>
    </row>
    <row r="13" spans="1:15" s="111" customFormat="1" ht="36" collapsed="1">
      <c r="A13" s="132" t="s">
        <v>594</v>
      </c>
      <c r="B13" s="213">
        <v>2000</v>
      </c>
      <c r="C13" s="137" t="s">
        <v>585</v>
      </c>
      <c r="D13" s="216">
        <v>0.04</v>
      </c>
      <c r="E13" s="118"/>
      <c r="F13" s="133" t="s">
        <v>15</v>
      </c>
      <c r="G13" s="120">
        <f>-G12*$B$13*10*(1+$D$13)^G4</f>
        <v>0</v>
      </c>
      <c r="H13" s="120">
        <f>-H12*$B$13*12*(1+$D$13)^H4</f>
        <v>-205640.93625199847</v>
      </c>
      <c r="I13" s="120">
        <f t="shared" ref="I13:N13" si="10">-I12*$B$13*12*(1+$D$13)^I4</f>
        <v>-454466.46911691665</v>
      </c>
      <c r="J13" s="120">
        <f t="shared" si="10"/>
        <v>-973092.91034445679</v>
      </c>
      <c r="K13" s="120">
        <f t="shared" si="10"/>
        <v>-1619226.6028131763</v>
      </c>
      <c r="L13" s="120">
        <f t="shared" si="10"/>
        <v>-2375636.7444130462</v>
      </c>
      <c r="M13" s="120">
        <f t="shared" si="10"/>
        <v>-3252517.3452622155</v>
      </c>
      <c r="N13" s="120">
        <f t="shared" si="10"/>
        <v>-4293322.8957461249</v>
      </c>
      <c r="O13" s="113"/>
    </row>
    <row r="14" spans="1:15" s="111" customFormat="1" ht="36">
      <c r="A14" s="132" t="s">
        <v>587</v>
      </c>
      <c r="B14" s="193">
        <v>0.15</v>
      </c>
      <c r="C14" s="137" t="s">
        <v>586</v>
      </c>
      <c r="D14" s="216">
        <f>-B14/20</f>
        <v>-7.4999999999999997E-3</v>
      </c>
      <c r="E14" s="138"/>
      <c r="F14" s="133" t="s">
        <v>567</v>
      </c>
      <c r="G14" s="122">
        <f>H14*10%</f>
        <v>-32354.331836124027</v>
      </c>
      <c r="H14" s="122">
        <f>-H10*($B$14+$D$14*H4)</f>
        <v>-323543.31836124026</v>
      </c>
      <c r="I14" s="122">
        <f>-I10*($B$14+$D$14*I4)</f>
        <v>-647544.73860447819</v>
      </c>
      <c r="J14" s="122">
        <f>-J10*($B$14+$D$14*J4)</f>
        <v>-1287024.4789766509</v>
      </c>
      <c r="K14" s="122">
        <f t="shared" ref="K14:N14" si="11">-K10*($B$14+$D$14*K4)</f>
        <v>-1915821.1640170873</v>
      </c>
      <c r="L14" s="122">
        <f t="shared" si="11"/>
        <v>-2525569.1222118591</v>
      </c>
      <c r="M14" s="122">
        <f t="shared" si="11"/>
        <v>-3106668.9668133352</v>
      </c>
      <c r="N14" s="122">
        <f t="shared" si="11"/>
        <v>-3648154.6370489327</v>
      </c>
      <c r="O14" s="113"/>
    </row>
    <row r="15" spans="1:15" s="106" customFormat="1" ht="36">
      <c r="A15" s="132" t="s">
        <v>587</v>
      </c>
      <c r="B15" s="193">
        <v>0.01</v>
      </c>
      <c r="C15" s="137"/>
      <c r="D15" s="138"/>
      <c r="E15" s="139"/>
      <c r="F15" s="133" t="s">
        <v>568</v>
      </c>
      <c r="G15" s="122">
        <f>H15*10%</f>
        <v>-2363.7868008127143</v>
      </c>
      <c r="H15" s="122">
        <f>-H10*$B$15</f>
        <v>-23637.868008127141</v>
      </c>
      <c r="I15" s="122">
        <f t="shared" ref="I15:N15" si="12">-I10*$B$15</f>
        <v>-50051.767235128747</v>
      </c>
      <c r="J15" s="122">
        <f t="shared" si="12"/>
        <v>-105602.00853141751</v>
      </c>
      <c r="K15" s="122">
        <f t="shared" si="12"/>
        <v>-167503.48975012786</v>
      </c>
      <c r="L15" s="122">
        <f t="shared" si="12"/>
        <v>-236310.56114263009</v>
      </c>
      <c r="M15" s="122">
        <f t="shared" si="12"/>
        <v>-312620.77653467527</v>
      </c>
      <c r="N15" s="122">
        <f t="shared" si="12"/>
        <v>-397078.05573321716</v>
      </c>
      <c r="O15" s="113"/>
    </row>
    <row r="16" spans="1:15" ht="24">
      <c r="A16" s="132" t="s">
        <v>587</v>
      </c>
      <c r="B16" s="193">
        <v>2.5000000000000001E-2</v>
      </c>
      <c r="C16" s="140"/>
      <c r="D16" s="140"/>
      <c r="E16" s="140"/>
      <c r="F16" s="133" t="s">
        <v>569</v>
      </c>
      <c r="G16" s="122">
        <f>-G10*$B$16</f>
        <v>0</v>
      </c>
      <c r="H16" s="122">
        <f>-H10*$B$16</f>
        <v>-59094.670020317863</v>
      </c>
      <c r="I16" s="122">
        <f t="shared" ref="I16:N16" si="13">-I10*$B$16</f>
        <v>-125129.41808782188</v>
      </c>
      <c r="J16" s="122">
        <f t="shared" si="13"/>
        <v>-264005.02132854378</v>
      </c>
      <c r="K16" s="122">
        <f t="shared" si="13"/>
        <v>-418758.72437531967</v>
      </c>
      <c r="L16" s="122">
        <f t="shared" si="13"/>
        <v>-590776.40285657521</v>
      </c>
      <c r="M16" s="122">
        <f t="shared" si="13"/>
        <v>-781551.94133668824</v>
      </c>
      <c r="N16" s="122">
        <f t="shared" si="13"/>
        <v>-992695.1393330429</v>
      </c>
      <c r="O16" s="113"/>
    </row>
    <row r="17" spans="1:15" ht="48.75" thickBot="1">
      <c r="A17" s="132" t="s">
        <v>633</v>
      </c>
      <c r="B17" s="214">
        <f>200*12</f>
        <v>2400</v>
      </c>
      <c r="C17" s="137" t="s">
        <v>565</v>
      </c>
      <c r="D17" s="216">
        <v>1.7999999999999999E-2</v>
      </c>
      <c r="E17" s="140"/>
      <c r="F17" s="133" t="s">
        <v>566</v>
      </c>
      <c r="G17" s="148">
        <f>-$B$17*G12*G4/1*(1+$D$17)^G4</f>
        <v>0</v>
      </c>
      <c r="H17" s="148">
        <f t="shared" ref="H17:N17" si="14">-$B$17*H12*(1+$D$17)^H4</f>
        <v>-19808.876310568932</v>
      </c>
      <c r="I17" s="148">
        <f t="shared" si="14"/>
        <v>-42851.551678838245</v>
      </c>
      <c r="J17" s="148">
        <f t="shared" si="14"/>
        <v>-89811.810959823924</v>
      </c>
      <c r="K17" s="148">
        <f t="shared" si="14"/>
        <v>-146285.47769136121</v>
      </c>
      <c r="L17" s="148">
        <f t="shared" si="14"/>
        <v>-210081.61940883307</v>
      </c>
      <c r="M17" s="148">
        <f t="shared" si="14"/>
        <v>-281541.2811398984</v>
      </c>
      <c r="N17" s="148">
        <f t="shared" si="14"/>
        <v>-363772.99225437496</v>
      </c>
      <c r="O17" s="113"/>
    </row>
    <row r="18" spans="1:15" ht="12.75" thickTop="1">
      <c r="A18" s="140"/>
      <c r="B18" s="202"/>
      <c r="C18" s="143"/>
      <c r="D18" s="143"/>
      <c r="E18" s="140"/>
      <c r="F18" s="125" t="s">
        <v>570</v>
      </c>
      <c r="G18" s="124">
        <f>G11+G13+G14+G15+G16+G17</f>
        <v>-34718.118636936742</v>
      </c>
      <c r="H18" s="124">
        <f t="shared" ref="H18:N18" si="15">H11+H13+H14+H15+H16+H17</f>
        <v>-1813619.0693586098</v>
      </c>
      <c r="I18" s="124">
        <f t="shared" si="15"/>
        <v>-3822632.3064796212</v>
      </c>
      <c r="J18" s="124">
        <f t="shared" si="15"/>
        <v>-7999636.6567117693</v>
      </c>
      <c r="K18" s="124">
        <f t="shared" si="15"/>
        <v>-12642769.946153464</v>
      </c>
      <c r="L18" s="124">
        <f t="shared" si="15"/>
        <v>-17753902.507164448</v>
      </c>
      <c r="M18" s="124">
        <f t="shared" si="15"/>
        <v>-23365939.137820579</v>
      </c>
      <c r="N18" s="124">
        <f t="shared" si="15"/>
        <v>-29548926.506776556</v>
      </c>
      <c r="O18" s="113"/>
    </row>
    <row r="19" spans="1:15" ht="24">
      <c r="A19" s="138"/>
      <c r="B19" s="203"/>
      <c r="C19" s="140"/>
      <c r="D19" s="140"/>
      <c r="E19" s="140"/>
      <c r="F19" s="125" t="s">
        <v>572</v>
      </c>
      <c r="G19" s="124">
        <f>G10+G18</f>
        <v>-34718.118636936742</v>
      </c>
      <c r="H19" s="124">
        <f t="shared" ref="H19:N19" si="16">H10+H18</f>
        <v>550167.73145410442</v>
      </c>
      <c r="I19" s="124">
        <f t="shared" si="16"/>
        <v>1182544.4170332537</v>
      </c>
      <c r="J19" s="124">
        <f t="shared" si="16"/>
        <v>2560564.1964299819</v>
      </c>
      <c r="K19" s="124">
        <f t="shared" si="16"/>
        <v>4107579.028859321</v>
      </c>
      <c r="L19" s="124">
        <f t="shared" si="16"/>
        <v>5877153.6070985608</v>
      </c>
      <c r="M19" s="124">
        <f t="shared" si="16"/>
        <v>7896138.5156469494</v>
      </c>
      <c r="N19" s="124">
        <f t="shared" si="16"/>
        <v>10158879.066545159</v>
      </c>
      <c r="O19" s="113"/>
    </row>
    <row r="20" spans="1:15" ht="24" hidden="1" outlineLevel="1">
      <c r="A20" s="132" t="s">
        <v>590</v>
      </c>
      <c r="B20" s="215"/>
      <c r="C20" s="140" t="s">
        <v>591</v>
      </c>
      <c r="D20" s="192">
        <v>20</v>
      </c>
      <c r="E20" s="140" t="s">
        <v>617</v>
      </c>
      <c r="F20" s="125" t="s">
        <v>588</v>
      </c>
      <c r="G20" s="123">
        <f>-$B$20/$D$20</f>
        <v>0</v>
      </c>
      <c r="H20" s="123">
        <f t="shared" ref="H20:N20" si="17">-$B$20/$D$20</f>
        <v>0</v>
      </c>
      <c r="I20" s="123">
        <f t="shared" si="17"/>
        <v>0</v>
      </c>
      <c r="J20" s="123">
        <f t="shared" si="17"/>
        <v>0</v>
      </c>
      <c r="K20" s="123">
        <f t="shared" si="17"/>
        <v>0</v>
      </c>
      <c r="L20" s="123">
        <f t="shared" si="17"/>
        <v>0</v>
      </c>
      <c r="M20" s="123">
        <f t="shared" si="17"/>
        <v>0</v>
      </c>
      <c r="N20" s="123">
        <f t="shared" si="17"/>
        <v>0</v>
      </c>
      <c r="O20" s="113"/>
    </row>
    <row r="21" spans="1:15" ht="36" collapsed="1">
      <c r="A21" s="132" t="s">
        <v>589</v>
      </c>
      <c r="B21" s="216">
        <v>0.3</v>
      </c>
      <c r="C21" s="140"/>
      <c r="D21" s="140"/>
      <c r="E21" s="140"/>
      <c r="F21" s="125" t="s">
        <v>571</v>
      </c>
      <c r="G21" s="120">
        <f t="shared" ref="G21:N21" si="18">IF(G19+G20&gt;0,-(G19+G20)*$B$21,0)</f>
        <v>0</v>
      </c>
      <c r="H21" s="120">
        <f t="shared" si="18"/>
        <v>-165050.31943623131</v>
      </c>
      <c r="I21" s="120">
        <f t="shared" si="18"/>
        <v>-354763.32510997611</v>
      </c>
      <c r="J21" s="120">
        <f t="shared" si="18"/>
        <v>-768169.25892899453</v>
      </c>
      <c r="K21" s="120">
        <f t="shared" si="18"/>
        <v>-1232273.7086577963</v>
      </c>
      <c r="L21" s="120">
        <f t="shared" si="18"/>
        <v>-1763146.0821295681</v>
      </c>
      <c r="M21" s="120">
        <f t="shared" si="18"/>
        <v>-2368841.5546940849</v>
      </c>
      <c r="N21" s="120">
        <f t="shared" si="18"/>
        <v>-3047663.7199635473</v>
      </c>
      <c r="O21" s="113"/>
    </row>
    <row r="22" spans="1:15">
      <c r="A22" s="138"/>
      <c r="B22" s="204"/>
      <c r="C22" s="137"/>
      <c r="D22" s="140"/>
      <c r="E22" s="140"/>
      <c r="F22" s="125" t="s">
        <v>573</v>
      </c>
      <c r="G22" s="124">
        <f t="shared" ref="G22:N22" si="19">G19+G20+G21</f>
        <v>-34718.118636936742</v>
      </c>
      <c r="H22" s="124">
        <f t="shared" si="19"/>
        <v>385117.41201787314</v>
      </c>
      <c r="I22" s="124">
        <f t="shared" si="19"/>
        <v>827781.09192327759</v>
      </c>
      <c r="J22" s="124">
        <f t="shared" si="19"/>
        <v>1792394.9375009872</v>
      </c>
      <c r="K22" s="124">
        <f t="shared" si="19"/>
        <v>2875305.3202015245</v>
      </c>
      <c r="L22" s="124">
        <f t="shared" si="19"/>
        <v>4114007.5249689929</v>
      </c>
      <c r="M22" s="124">
        <f t="shared" si="19"/>
        <v>5527296.960952865</v>
      </c>
      <c r="N22" s="124">
        <f t="shared" si="19"/>
        <v>7111215.3465816118</v>
      </c>
      <c r="O22" s="113"/>
    </row>
    <row r="23" spans="1:15">
      <c r="A23" s="142"/>
      <c r="B23" s="201"/>
      <c r="C23" s="137"/>
      <c r="D23" s="140"/>
      <c r="E23" s="140"/>
      <c r="F23" s="133" t="s">
        <v>25</v>
      </c>
      <c r="G23" s="28"/>
      <c r="H23" s="115">
        <f t="shared" ref="H23:N23" si="20">H22/H10</f>
        <v>0.16292392016296162</v>
      </c>
      <c r="I23" s="115">
        <f t="shared" si="20"/>
        <v>0.16538498791353382</v>
      </c>
      <c r="J23" s="115">
        <f t="shared" si="20"/>
        <v>0.16973114076402573</v>
      </c>
      <c r="K23" s="115">
        <f t="shared" si="20"/>
        <v>0.17165644276968445</v>
      </c>
      <c r="L23" s="115">
        <f t="shared" si="20"/>
        <v>0.1740932569867624</v>
      </c>
      <c r="M23" s="115">
        <f t="shared" si="20"/>
        <v>0.17680517022002176</v>
      </c>
      <c r="N23" s="115">
        <f t="shared" si="20"/>
        <v>0.17908860094145793</v>
      </c>
      <c r="O23" s="113"/>
    </row>
    <row r="24" spans="1:15" s="28" customFormat="1" ht="60">
      <c r="A24" s="101" t="s">
        <v>602</v>
      </c>
      <c r="B24" s="193">
        <v>0.15</v>
      </c>
      <c r="C24" s="137" t="s">
        <v>586</v>
      </c>
      <c r="D24" s="216">
        <f>-B24/10</f>
        <v>-1.4999999999999999E-2</v>
      </c>
      <c r="E24" s="140"/>
      <c r="F24" s="125" t="s">
        <v>592</v>
      </c>
      <c r="G24" s="120">
        <f>H24/6</f>
        <v>-51615.884961226518</v>
      </c>
      <c r="H24" s="120">
        <f t="shared" ref="H24:M24" si="21">I11*($B$24+$D$24*H4)</f>
        <v>-309695.30976735911</v>
      </c>
      <c r="I24" s="120">
        <f t="shared" si="21"/>
        <v>-574210.92138958268</v>
      </c>
      <c r="J24" s="120">
        <f t="shared" si="21"/>
        <v>-785172.60820372426</v>
      </c>
      <c r="K24" s="120">
        <f t="shared" si="21"/>
        <v>-930472.83449910604</v>
      </c>
      <c r="L24" s="120">
        <f t="shared" si="21"/>
        <v>-996478.72520427743</v>
      </c>
      <c r="M24" s="120">
        <f t="shared" si="21"/>
        <v>-967877.76084971684</v>
      </c>
      <c r="N24" s="120">
        <f>IF(N11*B25&gt;M24,N11*B25,M24*(1+D24))</f>
        <v>-953359.59443697112</v>
      </c>
      <c r="O24" s="113"/>
    </row>
    <row r="25" spans="1:15" s="28" customFormat="1">
      <c r="A25" s="101" t="s">
        <v>24</v>
      </c>
      <c r="B25" s="216">
        <v>0.05</v>
      </c>
      <c r="C25" s="140"/>
      <c r="D25" s="140"/>
      <c r="E25" s="140"/>
      <c r="F25" s="125" t="s">
        <v>574</v>
      </c>
      <c r="G25" s="124">
        <f t="shared" ref="G25:N25" si="22">G22-G20+G24</f>
        <v>-86334.003598163254</v>
      </c>
      <c r="H25" s="124">
        <f t="shared" si="22"/>
        <v>75422.102250514028</v>
      </c>
      <c r="I25" s="124">
        <f t="shared" si="22"/>
        <v>253570.17053369491</v>
      </c>
      <c r="J25" s="124">
        <f t="shared" si="22"/>
        <v>1007222.3292972629</v>
      </c>
      <c r="K25" s="124">
        <f t="shared" si="22"/>
        <v>1944832.4857024185</v>
      </c>
      <c r="L25" s="124">
        <f t="shared" si="22"/>
        <v>3117528.7997647156</v>
      </c>
      <c r="M25" s="124">
        <f t="shared" si="22"/>
        <v>4559419.2001031479</v>
      </c>
      <c r="N25" s="124">
        <f t="shared" si="22"/>
        <v>6157855.7521446403</v>
      </c>
      <c r="O25" s="126">
        <f>N25*(1+B25)/(B27-B25)</f>
        <v>30073249.022101723</v>
      </c>
    </row>
    <row r="26" spans="1:15" s="107" customFormat="1" ht="24" outlineLevel="1">
      <c r="A26" s="139"/>
      <c r="B26" s="203"/>
      <c r="C26" s="140"/>
      <c r="D26" s="140"/>
      <c r="E26" s="140"/>
      <c r="F26" s="158" t="s">
        <v>596</v>
      </c>
      <c r="G26" s="120">
        <f>G25</f>
        <v>-86334.003598163254</v>
      </c>
      <c r="H26" s="120">
        <f>G26+H25</f>
        <v>-10911.901347649225</v>
      </c>
      <c r="I26" s="120">
        <f t="shared" ref="I26:N26" si="23">H26+I25</f>
        <v>242658.26918604568</v>
      </c>
      <c r="J26" s="120">
        <f t="shared" si="23"/>
        <v>1249880.5984833087</v>
      </c>
      <c r="K26" s="120">
        <f t="shared" si="23"/>
        <v>3194713.0841857269</v>
      </c>
      <c r="L26" s="120">
        <f t="shared" si="23"/>
        <v>6312241.8839504421</v>
      </c>
      <c r="M26" s="120">
        <f t="shared" si="23"/>
        <v>10871661.084053591</v>
      </c>
      <c r="N26" s="120">
        <f t="shared" si="23"/>
        <v>17029516.836198233</v>
      </c>
      <c r="O26" s="124"/>
    </row>
    <row r="27" spans="1:15" s="28" customFormat="1" ht="24.75" thickBot="1">
      <c r="A27" s="101" t="s">
        <v>12</v>
      </c>
      <c r="B27" s="217">
        <f>Risk!E32</f>
        <v>0.26500000000000007</v>
      </c>
      <c r="C27" s="140"/>
      <c r="D27" s="140"/>
      <c r="E27" s="140"/>
      <c r="F27" s="145" t="s">
        <v>22</v>
      </c>
      <c r="G27" s="149">
        <f t="shared" ref="G27:O27" si="24">1/(1+$B$27)^G4</f>
        <v>0.83836300539399999</v>
      </c>
      <c r="H27" s="149">
        <f t="shared" si="24"/>
        <v>0.66273755367114617</v>
      </c>
      <c r="I27" s="149">
        <f t="shared" si="24"/>
        <v>0.52390320448311956</v>
      </c>
      <c r="J27" s="149">
        <f t="shared" si="24"/>
        <v>0.41415273081669518</v>
      </c>
      <c r="K27" s="149">
        <f t="shared" si="24"/>
        <v>0.32739346309620171</v>
      </c>
      <c r="L27" s="149">
        <f t="shared" si="24"/>
        <v>0.25880906173612783</v>
      </c>
      <c r="M27" s="149">
        <f t="shared" si="24"/>
        <v>0.20459214366492315</v>
      </c>
      <c r="N27" s="149">
        <f t="shared" si="24"/>
        <v>0.16173291989321989</v>
      </c>
      <c r="O27" s="149">
        <f t="shared" si="24"/>
        <v>0.16173291989321989</v>
      </c>
    </row>
    <row r="28" spans="1:15" s="107" customFormat="1" ht="12.75" thickTop="1">
      <c r="A28" s="139"/>
      <c r="B28" s="203"/>
      <c r="C28" s="140"/>
      <c r="D28" s="140"/>
      <c r="E28" s="140"/>
      <c r="F28" s="125" t="s">
        <v>16</v>
      </c>
      <c r="G28" s="124">
        <f>G25*G27</f>
        <v>-72379.234724252557</v>
      </c>
      <c r="H28" s="124">
        <f>H25*H27</f>
        <v>49985.059538240712</v>
      </c>
      <c r="I28" s="124">
        <f t="shared" ref="I28:O28" si="25">I25*I27</f>
        <v>132846.22490393385</v>
      </c>
      <c r="J28" s="124">
        <f t="shared" si="25"/>
        <v>417143.87821801403</v>
      </c>
      <c r="K28" s="124">
        <f t="shared" si="25"/>
        <v>636725.44263610896</v>
      </c>
      <c r="L28" s="124">
        <f t="shared" si="25"/>
        <v>806844.70360246277</v>
      </c>
      <c r="M28" s="124">
        <f t="shared" si="25"/>
        <v>932821.34801611223</v>
      </c>
      <c r="N28" s="124">
        <f t="shared" si="25"/>
        <v>995927.99107561237</v>
      </c>
      <c r="O28" s="124">
        <f t="shared" si="25"/>
        <v>4863834.3750204314</v>
      </c>
    </row>
    <row r="29" spans="1:15" s="107" customFormat="1" ht="24">
      <c r="A29" s="139"/>
      <c r="B29" s="203"/>
      <c r="C29" s="140"/>
      <c r="D29" s="140"/>
      <c r="E29" s="140"/>
      <c r="F29" s="146" t="s">
        <v>77</v>
      </c>
      <c r="G29" s="124">
        <f>SUM(G28:O28)</f>
        <v>8763749.7882866636</v>
      </c>
      <c r="H29" s="124"/>
      <c r="I29" s="124"/>
      <c r="J29" s="124"/>
      <c r="K29" s="124"/>
      <c r="L29" s="124"/>
      <c r="M29" s="124"/>
      <c r="N29" s="124"/>
      <c r="O29" s="124"/>
    </row>
    <row r="30" spans="1:15" ht="24">
      <c r="A30" s="140"/>
      <c r="B30" s="203"/>
      <c r="C30" s="140"/>
      <c r="D30" s="140"/>
      <c r="E30" s="140"/>
      <c r="F30" s="147" t="s">
        <v>598</v>
      </c>
      <c r="G30" s="120">
        <f>MIN(G26:H26)</f>
        <v>-86334.003598163254</v>
      </c>
      <c r="H30" s="28"/>
      <c r="I30" s="28"/>
      <c r="J30" s="28"/>
      <c r="K30" s="28"/>
      <c r="L30" s="28"/>
      <c r="M30" s="28"/>
      <c r="N30" s="28"/>
      <c r="O30" s="28"/>
    </row>
    <row r="31" spans="1:15" outlineLevel="1">
      <c r="A31" s="140"/>
      <c r="B31" s="140"/>
      <c r="C31" s="140"/>
      <c r="D31" s="140"/>
      <c r="E31" s="140"/>
      <c r="F31" s="190"/>
      <c r="G31" s="127"/>
      <c r="H31" s="28"/>
      <c r="I31" s="28"/>
      <c r="J31" s="28"/>
      <c r="K31" s="28"/>
      <c r="L31" s="28"/>
      <c r="M31" s="28"/>
      <c r="N31" s="28"/>
      <c r="O31" s="28"/>
    </row>
    <row r="32" spans="1:15" ht="24" outlineLevel="1">
      <c r="A32" s="144" t="s">
        <v>597</v>
      </c>
      <c r="B32" s="159">
        <f>MIN(G26:N26)-G30</f>
        <v>0</v>
      </c>
      <c r="C32" s="140" t="s">
        <v>599</v>
      </c>
      <c r="D32" s="160">
        <f>-B32/(I25*G27+J25*H27+K25*I27+L25*J27+M25*K27+N25*L27+O25*M27)</f>
        <v>0</v>
      </c>
      <c r="E32" s="140"/>
      <c r="F32" s="190"/>
      <c r="G32" s="128"/>
      <c r="H32" s="28"/>
      <c r="I32" s="28"/>
      <c r="J32" s="28"/>
      <c r="K32" s="28"/>
      <c r="L32" s="28"/>
      <c r="M32" s="28"/>
      <c r="N32" s="28"/>
      <c r="O32" s="28"/>
    </row>
    <row r="34" spans="15:15">
      <c r="O34" s="17"/>
    </row>
    <row r="36" spans="15:15">
      <c r="O36" s="17"/>
    </row>
  </sheetData>
  <mergeCells count="1">
    <mergeCell ref="B1:D1"/>
  </mergeCells>
  <pageMargins left="0.7" right="0.7" top="0.78740157499999996" bottom="0.78740157499999996" header="0.3" footer="0.3"/>
  <pageSetup paperSize="8"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workbookViewId="0">
      <pane xSplit="6" ySplit="1" topLeftCell="G2" activePane="bottomRight" state="frozen"/>
      <selection pane="topRight" activeCell="G1" sqref="G1"/>
      <selection pane="bottomLeft" activeCell="A2" sqref="A2"/>
      <selection pane="bottomRight" activeCell="B7" sqref="B7"/>
    </sheetView>
  </sheetViews>
  <sheetFormatPr baseColWidth="10" defaultColWidth="12.7109375" defaultRowHeight="12" outlineLevelRow="1" outlineLevelCol="1"/>
  <cols>
    <col min="1" max="1" width="11.7109375" style="141" customWidth="1" outlineLevel="1"/>
    <col min="2" max="2" width="18.140625" style="141" bestFit="1" customWidth="1" outlineLevel="1"/>
    <col min="3" max="5" width="11.7109375" style="141" customWidth="1" outlineLevel="1"/>
    <col min="6" max="6" width="16.140625" style="141" bestFit="1" customWidth="1"/>
    <col min="7" max="7" width="14.85546875" style="17" bestFit="1" customWidth="1"/>
    <col min="8" max="8" width="12.85546875" style="17" bestFit="1" customWidth="1"/>
    <col min="9" max="11" width="13.28515625" style="17" bestFit="1" customWidth="1"/>
    <col min="12" max="12" width="13.85546875" style="17" bestFit="1" customWidth="1"/>
    <col min="13" max="24" width="14.85546875" style="17" bestFit="1" customWidth="1"/>
    <col min="25" max="25" width="15.85546875" style="17" bestFit="1" customWidth="1"/>
    <col min="26" max="26" width="12.28515625" style="17" customWidth="1"/>
    <col min="27" max="16384" width="12.7109375" style="17"/>
  </cols>
  <sheetData>
    <row r="1" spans="1:26" s="79" customFormat="1" ht="39.75" customHeight="1" thickBot="1">
      <c r="A1" s="172" t="s">
        <v>668</v>
      </c>
      <c r="B1" s="312" t="s">
        <v>682</v>
      </c>
      <c r="C1" s="312"/>
      <c r="D1" s="312"/>
      <c r="E1" s="173" t="s">
        <v>595</v>
      </c>
      <c r="F1" s="155">
        <f>G28</f>
        <v>1634565775.7540131</v>
      </c>
      <c r="G1" s="109" t="s">
        <v>670</v>
      </c>
      <c r="H1" s="78">
        <v>2018</v>
      </c>
      <c r="I1" s="78">
        <f t="shared" ref="I1:N1" si="0">H1+1</f>
        <v>2019</v>
      </c>
      <c r="J1" s="78">
        <f t="shared" si="0"/>
        <v>2020</v>
      </c>
      <c r="K1" s="78">
        <f t="shared" si="0"/>
        <v>2021</v>
      </c>
      <c r="L1" s="78">
        <f t="shared" si="0"/>
        <v>2022</v>
      </c>
      <c r="M1" s="78">
        <f t="shared" si="0"/>
        <v>2023</v>
      </c>
      <c r="N1" s="78">
        <f t="shared" si="0"/>
        <v>2024</v>
      </c>
      <c r="O1" s="78">
        <f t="shared" ref="O1" si="1">N1+1</f>
        <v>2025</v>
      </c>
      <c r="P1" s="78">
        <f t="shared" ref="P1" si="2">O1+1</f>
        <v>2026</v>
      </c>
      <c r="Q1" s="78">
        <f t="shared" ref="Q1" si="3">P1+1</f>
        <v>2027</v>
      </c>
      <c r="R1" s="78">
        <f t="shared" ref="R1" si="4">Q1+1</f>
        <v>2028</v>
      </c>
      <c r="S1" s="78">
        <f t="shared" ref="S1" si="5">R1+1</f>
        <v>2029</v>
      </c>
      <c r="T1" s="78">
        <f t="shared" ref="T1" si="6">S1+1</f>
        <v>2030</v>
      </c>
      <c r="U1" s="78">
        <f t="shared" ref="U1" si="7">T1+1</f>
        <v>2031</v>
      </c>
      <c r="V1" s="78">
        <f t="shared" ref="V1" si="8">U1+1</f>
        <v>2032</v>
      </c>
      <c r="W1" s="78">
        <f t="shared" ref="W1" si="9">V1+1</f>
        <v>2033</v>
      </c>
      <c r="X1" s="78">
        <f t="shared" ref="X1" si="10">W1+1</f>
        <v>2034</v>
      </c>
      <c r="Y1" s="78">
        <f t="shared" ref="Y1" si="11">X1+1</f>
        <v>2035</v>
      </c>
      <c r="Z1" s="78"/>
    </row>
    <row r="2" spans="1:26" s="79" customFormat="1" ht="12.75">
      <c r="A2" s="162"/>
      <c r="B2" s="165" t="s">
        <v>600</v>
      </c>
      <c r="C2" s="162"/>
      <c r="D2" s="166" t="s">
        <v>653</v>
      </c>
      <c r="E2" s="163"/>
      <c r="F2" s="161"/>
      <c r="G2" s="164"/>
      <c r="H2" s="108"/>
      <c r="I2" s="108"/>
      <c r="J2" s="108"/>
      <c r="K2" s="108"/>
      <c r="L2" s="108"/>
      <c r="M2" s="108"/>
      <c r="N2" s="108"/>
      <c r="O2" s="108"/>
      <c r="P2" s="108"/>
      <c r="Q2" s="108"/>
      <c r="R2" s="108"/>
      <c r="S2" s="108"/>
      <c r="T2" s="108"/>
      <c r="U2" s="108"/>
      <c r="V2" s="108"/>
      <c r="W2" s="108"/>
      <c r="X2" s="108"/>
      <c r="Y2" s="108"/>
      <c r="Z2" s="108"/>
    </row>
    <row r="3" spans="1:26" s="111" customFormat="1" ht="48" hidden="1" outlineLevel="1">
      <c r="A3" s="150" t="s">
        <v>9</v>
      </c>
      <c r="B3" s="150" t="s">
        <v>554</v>
      </c>
      <c r="C3" s="150" t="s">
        <v>553</v>
      </c>
      <c r="D3" s="150" t="s">
        <v>609</v>
      </c>
      <c r="E3" s="151" t="s">
        <v>650</v>
      </c>
      <c r="F3" s="118" t="s">
        <v>581</v>
      </c>
      <c r="G3" s="110">
        <f>9/12</f>
        <v>0.75</v>
      </c>
      <c r="H3" s="110">
        <f>G3+1</f>
        <v>1.75</v>
      </c>
      <c r="I3" s="110">
        <f t="shared" ref="I3:N3" si="12">H3+1</f>
        <v>2.75</v>
      </c>
      <c r="J3" s="110">
        <f t="shared" si="12"/>
        <v>3.75</v>
      </c>
      <c r="K3" s="110">
        <f t="shared" si="12"/>
        <v>4.75</v>
      </c>
      <c r="L3" s="110">
        <f t="shared" si="12"/>
        <v>5.75</v>
      </c>
      <c r="M3" s="110">
        <f t="shared" si="12"/>
        <v>6.75</v>
      </c>
      <c r="N3" s="110">
        <f t="shared" si="12"/>
        <v>7.75</v>
      </c>
      <c r="O3" s="110">
        <f t="shared" ref="O3" si="13">N3+1</f>
        <v>8.75</v>
      </c>
      <c r="P3" s="110">
        <f t="shared" ref="P3" si="14">O3+1</f>
        <v>9.75</v>
      </c>
      <c r="Q3" s="110">
        <f t="shared" ref="Q3" si="15">P3+1</f>
        <v>10.75</v>
      </c>
      <c r="R3" s="110">
        <f t="shared" ref="R3" si="16">Q3+1</f>
        <v>11.75</v>
      </c>
      <c r="S3" s="110">
        <f t="shared" ref="S3" si="17">R3+1</f>
        <v>12.75</v>
      </c>
      <c r="T3" s="110">
        <f t="shared" ref="T3" si="18">S3+1</f>
        <v>13.75</v>
      </c>
      <c r="U3" s="110">
        <f t="shared" ref="U3" si="19">T3+1</f>
        <v>14.75</v>
      </c>
      <c r="V3" s="110">
        <f t="shared" ref="V3" si="20">U3+1</f>
        <v>15.75</v>
      </c>
      <c r="W3" s="110">
        <f t="shared" ref="W3" si="21">V3+1</f>
        <v>16.75</v>
      </c>
      <c r="X3" s="110">
        <f t="shared" ref="X3" si="22">W3+1</f>
        <v>17.75</v>
      </c>
      <c r="Y3" s="110">
        <f t="shared" ref="Y3" si="23">X3+1</f>
        <v>18.75</v>
      </c>
      <c r="Z3" s="110"/>
    </row>
    <row r="4" spans="1:26" s="111" customFormat="1" hidden="1" outlineLevel="1">
      <c r="A4" s="150"/>
      <c r="B4" s="150"/>
      <c r="C4" s="150"/>
      <c r="D4" s="150"/>
      <c r="E4" s="151"/>
      <c r="F4" s="118"/>
      <c r="G4" s="110"/>
      <c r="H4" s="266">
        <v>8.0000000000000004E-4</v>
      </c>
      <c r="I4" s="266">
        <f>H4*2.5</f>
        <v>2E-3</v>
      </c>
      <c r="J4" s="266">
        <f t="shared" ref="J4:Y4" si="24">$C$5+I4</f>
        <v>3.4285714285714288E-3</v>
      </c>
      <c r="K4" s="266">
        <f t="shared" si="24"/>
        <v>4.8571428571428576E-3</v>
      </c>
      <c r="L4" s="266">
        <f t="shared" si="24"/>
        <v>6.2857142857142868E-3</v>
      </c>
      <c r="M4" s="266">
        <f t="shared" si="24"/>
        <v>7.7142857142857152E-3</v>
      </c>
      <c r="N4" s="266">
        <f t="shared" si="24"/>
        <v>9.1428571428571435E-3</v>
      </c>
      <c r="O4" s="266">
        <f t="shared" si="24"/>
        <v>1.0571428571428572E-2</v>
      </c>
      <c r="P4" s="266">
        <f t="shared" si="24"/>
        <v>1.2E-2</v>
      </c>
      <c r="Q4" s="266">
        <f t="shared" si="24"/>
        <v>1.3428571428571429E-2</v>
      </c>
      <c r="R4" s="266">
        <f t="shared" si="24"/>
        <v>1.4857142857142857E-2</v>
      </c>
      <c r="S4" s="266">
        <f t="shared" si="24"/>
        <v>1.6285714285714285E-2</v>
      </c>
      <c r="T4" s="266">
        <f t="shared" si="24"/>
        <v>1.7714285714285714E-2</v>
      </c>
      <c r="U4" s="266">
        <f t="shared" si="24"/>
        <v>1.9142857142857142E-2</v>
      </c>
      <c r="V4" s="266">
        <f t="shared" si="24"/>
        <v>2.057142857142857E-2</v>
      </c>
      <c r="W4" s="266">
        <f t="shared" si="24"/>
        <v>2.1999999999999999E-2</v>
      </c>
      <c r="X4" s="266">
        <f t="shared" si="24"/>
        <v>2.3428571428571427E-2</v>
      </c>
      <c r="Y4" s="266">
        <f t="shared" si="24"/>
        <v>2.4857142857142855E-2</v>
      </c>
      <c r="Z4" s="110"/>
    </row>
    <row r="5" spans="1:26" s="111" customFormat="1" ht="24" collapsed="1">
      <c r="A5" s="152" t="s">
        <v>683</v>
      </c>
      <c r="B5" s="195">
        <f>Company!E26</f>
        <v>392000000</v>
      </c>
      <c r="C5" s="196">
        <f>D5/20</f>
        <v>1.4285714285714288E-3</v>
      </c>
      <c r="D5" s="194">
        <f>10%/D6</f>
        <v>2.8571428571428574E-2</v>
      </c>
      <c r="E5" s="194">
        <v>3.7999999999999999E-2</v>
      </c>
      <c r="F5" s="157" t="s">
        <v>561</v>
      </c>
      <c r="G5" s="110">
        <v>0</v>
      </c>
      <c r="H5" s="112">
        <f>($B$5*(1+$E$5)^H3)*H4</f>
        <v>334750.64513297763</v>
      </c>
      <c r="I5" s="112">
        <f t="shared" ref="I5:Y5" si="25">($B$5*(1+$E$5)^I3)*I4</f>
        <v>868677.92412007705</v>
      </c>
      <c r="J5" s="112">
        <f t="shared" si="25"/>
        <v>1545750.3175485258</v>
      </c>
      <c r="K5" s="112">
        <f t="shared" si="25"/>
        <v>2273025.8419551072</v>
      </c>
      <c r="L5" s="112">
        <f t="shared" si="25"/>
        <v>3053342.2427580492</v>
      </c>
      <c r="M5" s="112">
        <f t="shared" si="25"/>
        <v>3889680.4407062307</v>
      </c>
      <c r="N5" s="112">
        <f t="shared" si="25"/>
        <v>4785171.3154999325</v>
      </c>
      <c r="O5" s="112">
        <f t="shared" si="25"/>
        <v>5743102.7982215742</v>
      </c>
      <c r="P5" s="112">
        <f t="shared" si="25"/>
        <v>6766927.2862504795</v>
      </c>
      <c r="Q5" s="112">
        <f t="shared" si="25"/>
        <v>7860269.3949289499</v>
      </c>
      <c r="R5" s="112">
        <f t="shared" si="25"/>
        <v>9026934.0608656406</v>
      </c>
      <c r="S5" s="112">
        <f t="shared" si="25"/>
        <v>10270915.01240724</v>
      </c>
      <c r="T5" s="112">
        <f t="shared" si="25"/>
        <v>11596403.62348211</v>
      </c>
      <c r="U5" s="112">
        <f t="shared" si="25"/>
        <v>13007798.167720754</v>
      </c>
      <c r="V5" s="112">
        <f t="shared" si="25"/>
        <v>14509713.490489231</v>
      </c>
      <c r="W5" s="112">
        <f t="shared" si="25"/>
        <v>16106991.117233923</v>
      </c>
      <c r="X5" s="112">
        <f t="shared" si="25"/>
        <v>17804709.817330938</v>
      </c>
      <c r="Y5" s="112">
        <f t="shared" si="25"/>
        <v>19608196.643462043</v>
      </c>
      <c r="Z5" s="112"/>
    </row>
    <row r="6" spans="1:26" s="111" customFormat="1" ht="36">
      <c r="A6" s="101" t="s">
        <v>655</v>
      </c>
      <c r="B6" s="197">
        <f>42.8*D6</f>
        <v>149.79999999999998</v>
      </c>
      <c r="C6" s="80" t="s">
        <v>656</v>
      </c>
      <c r="D6" s="270">
        <v>3.5</v>
      </c>
      <c r="E6" s="267"/>
      <c r="F6" s="133" t="s">
        <v>21</v>
      </c>
      <c r="G6" s="114"/>
      <c r="H6" s="114"/>
      <c r="I6" s="115">
        <f t="shared" ref="I6:N6" si="26">I5/H5-1</f>
        <v>1.5950000000000002</v>
      </c>
      <c r="J6" s="115">
        <f t="shared" si="26"/>
        <v>0.77942857142857158</v>
      </c>
      <c r="K6" s="115">
        <f t="shared" si="26"/>
        <v>0.47050000000000014</v>
      </c>
      <c r="L6" s="115">
        <f t="shared" si="26"/>
        <v>0.34329411764705897</v>
      </c>
      <c r="M6" s="115">
        <f t="shared" si="26"/>
        <v>0.27390909090909066</v>
      </c>
      <c r="N6" s="115">
        <f t="shared" si="26"/>
        <v>0.23022222222222233</v>
      </c>
      <c r="O6" s="115">
        <f t="shared" ref="O6" si="27">O5/N5-1</f>
        <v>0.20018749999999974</v>
      </c>
      <c r="P6" s="115">
        <f t="shared" ref="P6" si="28">P5/O5-1</f>
        <v>0.17827027027027031</v>
      </c>
      <c r="Q6" s="115">
        <f t="shared" ref="Q6" si="29">Q5/P5-1</f>
        <v>0.16157142857142848</v>
      </c>
      <c r="R6" s="115">
        <f t="shared" ref="R6" si="30">R5/Q5-1</f>
        <v>0.14842553191489394</v>
      </c>
      <c r="S6" s="115">
        <f t="shared" ref="S6" si="31">S5/R5-1</f>
        <v>0.1378076923076923</v>
      </c>
      <c r="T6" s="115">
        <f t="shared" ref="T6" si="32">T5/S5-1</f>
        <v>0.12905263157894731</v>
      </c>
      <c r="U6" s="115">
        <f t="shared" ref="U6" si="33">U5/T5-1</f>
        <v>0.12170967741935468</v>
      </c>
      <c r="V6" s="115">
        <f t="shared" ref="V6" si="34">V5/U5-1</f>
        <v>0.11546268656716441</v>
      </c>
      <c r="W6" s="115">
        <f t="shared" ref="W6" si="35">W5/V5-1</f>
        <v>0.11008333333333353</v>
      </c>
      <c r="X6" s="115">
        <f t="shared" ref="X6" si="36">X5/W5-1</f>
        <v>0.10540259740259716</v>
      </c>
      <c r="Y6" s="115">
        <f t="shared" ref="Y6" si="37">Y5/X5-1</f>
        <v>0.10129268292682925</v>
      </c>
      <c r="Z6" s="115"/>
    </row>
    <row r="7" spans="1:26" s="111" customFormat="1">
      <c r="A7" s="101" t="s">
        <v>620</v>
      </c>
      <c r="B7" s="198">
        <f>B6*C7</f>
        <v>37.449999999999996</v>
      </c>
      <c r="C7" s="272">
        <v>0.25</v>
      </c>
      <c r="D7" s="134" t="s">
        <v>583</v>
      </c>
      <c r="E7" s="189">
        <v>0.02</v>
      </c>
      <c r="F7" s="125" t="s">
        <v>13</v>
      </c>
      <c r="G7" s="116">
        <f t="shared" ref="G7:Y7" si="38">G5*$B$7*(1+$E$7)^G3</f>
        <v>0</v>
      </c>
      <c r="H7" s="116">
        <f t="shared" si="38"/>
        <v>12978471.42569281</v>
      </c>
      <c r="I7" s="116">
        <f t="shared" si="38"/>
        <v>34352716.016666301</v>
      </c>
      <c r="J7" s="116">
        <f t="shared" si="38"/>
        <v>62350768.47395248</v>
      </c>
      <c r="K7" s="116">
        <f t="shared" si="38"/>
        <v>93520541.141766086</v>
      </c>
      <c r="L7" s="116">
        <f t="shared" si="38"/>
        <v>128138104.65080225</v>
      </c>
      <c r="M7" s="116">
        <f t="shared" si="38"/>
        <v>166501022.33464774</v>
      </c>
      <c r="N7" s="116">
        <f t="shared" si="38"/>
        <v>208929922.85277829</v>
      </c>
      <c r="O7" s="116">
        <f t="shared" si="38"/>
        <v>255770183.41954619</v>
      </c>
      <c r="P7" s="116">
        <f t="shared" si="38"/>
        <v>307393731.20772177</v>
      </c>
      <c r="Q7" s="116">
        <f t="shared" si="38"/>
        <v>364200971.00271219</v>
      </c>
      <c r="R7" s="116">
        <f t="shared" si="38"/>
        <v>426622847.72466487</v>
      </c>
      <c r="S7" s="116">
        <f t="shared" si="38"/>
        <v>495123053.01244366</v>
      </c>
      <c r="T7" s="116">
        <f t="shared" si="38"/>
        <v>570200385.67828417</v>
      </c>
      <c r="U7" s="116">
        <f t="shared" si="38"/>
        <v>652391276.49725151</v>
      </c>
      <c r="V7" s="116">
        <f t="shared" si="38"/>
        <v>742272488.49409807</v>
      </c>
      <c r="W7" s="116">
        <f t="shared" si="38"/>
        <v>840464004.63453996</v>
      </c>
      <c r="X7" s="116">
        <f t="shared" si="38"/>
        <v>947632115.62133706</v>
      </c>
      <c r="Y7" s="116">
        <f t="shared" si="38"/>
        <v>1064492721.3410546</v>
      </c>
      <c r="Z7" s="116"/>
    </row>
    <row r="8" spans="1:26" s="111" customFormat="1" ht="24" hidden="1" outlineLevel="1">
      <c r="A8" s="132" t="s">
        <v>564</v>
      </c>
      <c r="B8" s="268">
        <v>1</v>
      </c>
      <c r="C8" s="118"/>
      <c r="D8" s="118"/>
      <c r="E8" s="118"/>
      <c r="F8" s="133" t="s">
        <v>563</v>
      </c>
      <c r="G8" s="117">
        <f>-G7*(1-$B$8)</f>
        <v>0</v>
      </c>
      <c r="H8" s="117">
        <f t="shared" ref="H8:N8" si="39">-H7*(1-$B$8)</f>
        <v>0</v>
      </c>
      <c r="I8" s="117">
        <f t="shared" si="39"/>
        <v>0</v>
      </c>
      <c r="J8" s="117">
        <f t="shared" si="39"/>
        <v>0</v>
      </c>
      <c r="K8" s="117">
        <f t="shared" si="39"/>
        <v>0</v>
      </c>
      <c r="L8" s="117">
        <f t="shared" si="39"/>
        <v>0</v>
      </c>
      <c r="M8" s="117">
        <f t="shared" si="39"/>
        <v>0</v>
      </c>
      <c r="N8" s="117">
        <f t="shared" si="39"/>
        <v>0</v>
      </c>
      <c r="O8" s="117">
        <f t="shared" ref="O8:Y8" si="40">-O7*(1-$B$8)</f>
        <v>0</v>
      </c>
      <c r="P8" s="117">
        <f t="shared" si="40"/>
        <v>0</v>
      </c>
      <c r="Q8" s="117">
        <f t="shared" si="40"/>
        <v>0</v>
      </c>
      <c r="R8" s="117">
        <f t="shared" si="40"/>
        <v>0</v>
      </c>
      <c r="S8" s="117">
        <f t="shared" si="40"/>
        <v>0</v>
      </c>
      <c r="T8" s="117">
        <f t="shared" si="40"/>
        <v>0</v>
      </c>
      <c r="U8" s="117">
        <f t="shared" si="40"/>
        <v>0</v>
      </c>
      <c r="V8" s="117">
        <f t="shared" si="40"/>
        <v>0</v>
      </c>
      <c r="W8" s="117">
        <f t="shared" si="40"/>
        <v>0</v>
      </c>
      <c r="X8" s="117">
        <f t="shared" si="40"/>
        <v>0</v>
      </c>
      <c r="Y8" s="117">
        <f t="shared" si="40"/>
        <v>0</v>
      </c>
      <c r="Z8" s="117"/>
    </row>
    <row r="9" spans="1:26" s="111" customFormat="1" ht="24" hidden="1" outlineLevel="1">
      <c r="A9" s="132" t="s">
        <v>604</v>
      </c>
      <c r="B9" s="199">
        <v>0</v>
      </c>
      <c r="C9" s="136"/>
      <c r="D9" s="118"/>
      <c r="E9" s="118"/>
      <c r="F9" s="154" t="s">
        <v>14</v>
      </c>
      <c r="G9" s="269"/>
      <c r="H9" s="269"/>
      <c r="I9" s="269"/>
      <c r="J9" s="269"/>
      <c r="K9" s="269"/>
      <c r="L9" s="269"/>
      <c r="M9" s="269"/>
      <c r="N9" s="269"/>
      <c r="O9" s="269"/>
      <c r="P9" s="269"/>
      <c r="Q9" s="269"/>
      <c r="R9" s="269"/>
      <c r="S9" s="269"/>
      <c r="T9" s="269"/>
      <c r="U9" s="269"/>
      <c r="V9" s="269"/>
      <c r="W9" s="269"/>
      <c r="X9" s="269"/>
      <c r="Y9" s="269"/>
      <c r="Z9" s="28"/>
    </row>
    <row r="10" spans="1:26" s="111" customFormat="1" ht="36" hidden="1" outlineLevel="1">
      <c r="A10" s="132" t="s">
        <v>594</v>
      </c>
      <c r="B10" s="200">
        <v>2500</v>
      </c>
      <c r="C10" s="137" t="s">
        <v>585</v>
      </c>
      <c r="D10" s="138">
        <v>0.04</v>
      </c>
      <c r="E10" s="118"/>
      <c r="F10" s="133" t="s">
        <v>15</v>
      </c>
      <c r="G10" s="120">
        <f>-G9*$B$10*12*G3/1</f>
        <v>0</v>
      </c>
      <c r="H10" s="120">
        <f t="shared" ref="H10:N10" si="41">-H9*$B$10*12*(1+$D$10)^H3</f>
        <v>0</v>
      </c>
      <c r="I10" s="120">
        <f t="shared" si="41"/>
        <v>0</v>
      </c>
      <c r="J10" s="120">
        <f t="shared" si="41"/>
        <v>0</v>
      </c>
      <c r="K10" s="120">
        <f t="shared" si="41"/>
        <v>0</v>
      </c>
      <c r="L10" s="120">
        <f t="shared" si="41"/>
        <v>0</v>
      </c>
      <c r="M10" s="120">
        <f t="shared" si="41"/>
        <v>0</v>
      </c>
      <c r="N10" s="120">
        <f t="shared" si="41"/>
        <v>0</v>
      </c>
      <c r="O10" s="120">
        <f t="shared" ref="O10" si="42">-O9*$B$10*12*(1+$D$10)^O3</f>
        <v>0</v>
      </c>
      <c r="P10" s="120">
        <f t="shared" ref="P10" si="43">-P9*$B$10*12*(1+$D$10)^P3</f>
        <v>0</v>
      </c>
      <c r="Q10" s="120">
        <f t="shared" ref="Q10" si="44">-Q9*$B$10*12*(1+$D$10)^Q3</f>
        <v>0</v>
      </c>
      <c r="R10" s="120">
        <f t="shared" ref="R10" si="45">-R9*$B$10*12*(1+$D$10)^R3</f>
        <v>0</v>
      </c>
      <c r="S10" s="120">
        <f t="shared" ref="S10" si="46">-S9*$B$10*12*(1+$D$10)^S3</f>
        <v>0</v>
      </c>
      <c r="T10" s="120">
        <f t="shared" ref="T10" si="47">-T9*$B$10*12*(1+$D$10)^T3</f>
        <v>0</v>
      </c>
      <c r="U10" s="120">
        <f t="shared" ref="U10" si="48">-U9*$B$10*12*(1+$D$10)^U3</f>
        <v>0</v>
      </c>
      <c r="V10" s="120">
        <f t="shared" ref="V10" si="49">-V9*$B$10*12*(1+$D$10)^V3</f>
        <v>0</v>
      </c>
      <c r="W10" s="120">
        <f t="shared" ref="W10" si="50">-W9*$B$10*12*(1+$D$10)^W3</f>
        <v>0</v>
      </c>
      <c r="X10" s="120">
        <f t="shared" ref="X10" si="51">-X9*$B$10*12*(1+$D$10)^X3</f>
        <v>0</v>
      </c>
      <c r="Y10" s="120">
        <f t="shared" ref="Y10" si="52">-Y9*$B$10*12*(1+$D$10)^Y3</f>
        <v>0</v>
      </c>
      <c r="Z10" s="120"/>
    </row>
    <row r="11" spans="1:26" s="111" customFormat="1" ht="36" hidden="1" outlineLevel="1">
      <c r="A11" s="132" t="s">
        <v>587</v>
      </c>
      <c r="B11" s="176"/>
      <c r="C11" s="137" t="s">
        <v>586</v>
      </c>
      <c r="D11" s="138">
        <f>-B11/20</f>
        <v>0</v>
      </c>
      <c r="E11" s="138"/>
      <c r="F11" s="133" t="s">
        <v>567</v>
      </c>
      <c r="G11" s="121">
        <f>H11*10%</f>
        <v>0</v>
      </c>
      <c r="H11" s="122">
        <f t="shared" ref="H11:N11" si="53">-H7*($B$11+$D$11*H3)</f>
        <v>0</v>
      </c>
      <c r="I11" s="122">
        <f t="shared" si="53"/>
        <v>0</v>
      </c>
      <c r="J11" s="122">
        <f t="shared" si="53"/>
        <v>0</v>
      </c>
      <c r="K11" s="122">
        <f t="shared" si="53"/>
        <v>0</v>
      </c>
      <c r="L11" s="122">
        <f t="shared" si="53"/>
        <v>0</v>
      </c>
      <c r="M11" s="122">
        <f t="shared" si="53"/>
        <v>0</v>
      </c>
      <c r="N11" s="122">
        <f t="shared" si="53"/>
        <v>0</v>
      </c>
      <c r="O11" s="122">
        <f t="shared" ref="O11:Y11" si="54">-O7*($B$11+$D$11*O3)</f>
        <v>0</v>
      </c>
      <c r="P11" s="122">
        <f t="shared" si="54"/>
        <v>0</v>
      </c>
      <c r="Q11" s="122">
        <f t="shared" si="54"/>
        <v>0</v>
      </c>
      <c r="R11" s="122">
        <f t="shared" si="54"/>
        <v>0</v>
      </c>
      <c r="S11" s="122">
        <f t="shared" si="54"/>
        <v>0</v>
      </c>
      <c r="T11" s="122">
        <f t="shared" si="54"/>
        <v>0</v>
      </c>
      <c r="U11" s="122">
        <f t="shared" si="54"/>
        <v>0</v>
      </c>
      <c r="V11" s="122">
        <f t="shared" si="54"/>
        <v>0</v>
      </c>
      <c r="W11" s="122">
        <f t="shared" si="54"/>
        <v>0</v>
      </c>
      <c r="X11" s="122">
        <f t="shared" si="54"/>
        <v>0</v>
      </c>
      <c r="Y11" s="122">
        <f t="shared" si="54"/>
        <v>0</v>
      </c>
      <c r="Z11" s="122"/>
    </row>
    <row r="12" spans="1:26" s="106" customFormat="1" ht="36" hidden="1" outlineLevel="1">
      <c r="A12" s="132" t="s">
        <v>587</v>
      </c>
      <c r="B12" s="176">
        <v>0</v>
      </c>
      <c r="C12" s="137"/>
      <c r="D12" s="138"/>
      <c r="E12" s="139"/>
      <c r="F12" s="133" t="s">
        <v>568</v>
      </c>
      <c r="G12" s="121">
        <f>H12*10%</f>
        <v>0</v>
      </c>
      <c r="H12" s="122">
        <f>-H7*$B$12</f>
        <v>0</v>
      </c>
      <c r="I12" s="122">
        <f t="shared" ref="I12:N12" si="55">-I7*$B$12</f>
        <v>0</v>
      </c>
      <c r="J12" s="122">
        <f t="shared" si="55"/>
        <v>0</v>
      </c>
      <c r="K12" s="122">
        <f t="shared" si="55"/>
        <v>0</v>
      </c>
      <c r="L12" s="122">
        <f t="shared" si="55"/>
        <v>0</v>
      </c>
      <c r="M12" s="122">
        <f t="shared" si="55"/>
        <v>0</v>
      </c>
      <c r="N12" s="122">
        <f t="shared" si="55"/>
        <v>0</v>
      </c>
      <c r="O12" s="122">
        <f t="shared" ref="O12:Y12" si="56">-O7*$B$12</f>
        <v>0</v>
      </c>
      <c r="P12" s="122">
        <f t="shared" si="56"/>
        <v>0</v>
      </c>
      <c r="Q12" s="122">
        <f t="shared" si="56"/>
        <v>0</v>
      </c>
      <c r="R12" s="122">
        <f t="shared" si="56"/>
        <v>0</v>
      </c>
      <c r="S12" s="122">
        <f t="shared" si="56"/>
        <v>0</v>
      </c>
      <c r="T12" s="122">
        <f t="shared" si="56"/>
        <v>0</v>
      </c>
      <c r="U12" s="122">
        <f t="shared" si="56"/>
        <v>0</v>
      </c>
      <c r="V12" s="122">
        <f t="shared" si="56"/>
        <v>0</v>
      </c>
      <c r="W12" s="122">
        <f t="shared" si="56"/>
        <v>0</v>
      </c>
      <c r="X12" s="122">
        <f t="shared" si="56"/>
        <v>0</v>
      </c>
      <c r="Y12" s="122">
        <f t="shared" si="56"/>
        <v>0</v>
      </c>
      <c r="Z12" s="122"/>
    </row>
    <row r="13" spans="1:26" ht="24" hidden="1" outlineLevel="1">
      <c r="A13" s="132" t="s">
        <v>587</v>
      </c>
      <c r="B13" s="176">
        <v>0</v>
      </c>
      <c r="C13" s="140"/>
      <c r="D13" s="140"/>
      <c r="E13" s="140"/>
      <c r="F13" s="133" t="s">
        <v>569</v>
      </c>
      <c r="G13" s="122">
        <f>-G7*$B$13</f>
        <v>0</v>
      </c>
      <c r="H13" s="122">
        <f>-H7*$B$13</f>
        <v>0</v>
      </c>
      <c r="I13" s="122">
        <f t="shared" ref="I13:N13" si="57">-I7*$B$13</f>
        <v>0</v>
      </c>
      <c r="J13" s="122">
        <f t="shared" si="57"/>
        <v>0</v>
      </c>
      <c r="K13" s="122">
        <f t="shared" si="57"/>
        <v>0</v>
      </c>
      <c r="L13" s="122">
        <f t="shared" si="57"/>
        <v>0</v>
      </c>
      <c r="M13" s="122">
        <f t="shared" si="57"/>
        <v>0</v>
      </c>
      <c r="N13" s="122">
        <f t="shared" si="57"/>
        <v>0</v>
      </c>
      <c r="O13" s="122">
        <f t="shared" ref="O13:Y13" si="58">-O7*$B$13</f>
        <v>0</v>
      </c>
      <c r="P13" s="122">
        <f t="shared" si="58"/>
        <v>0</v>
      </c>
      <c r="Q13" s="122">
        <f t="shared" si="58"/>
        <v>0</v>
      </c>
      <c r="R13" s="122">
        <f t="shared" si="58"/>
        <v>0</v>
      </c>
      <c r="S13" s="122">
        <f t="shared" si="58"/>
        <v>0</v>
      </c>
      <c r="T13" s="122">
        <f t="shared" si="58"/>
        <v>0</v>
      </c>
      <c r="U13" s="122">
        <f t="shared" si="58"/>
        <v>0</v>
      </c>
      <c r="V13" s="122">
        <f t="shared" si="58"/>
        <v>0</v>
      </c>
      <c r="W13" s="122">
        <f t="shared" si="58"/>
        <v>0</v>
      </c>
      <c r="X13" s="122">
        <f t="shared" si="58"/>
        <v>0</v>
      </c>
      <c r="Y13" s="122">
        <f t="shared" si="58"/>
        <v>0</v>
      </c>
      <c r="Z13" s="122"/>
    </row>
    <row r="14" spans="1:26" ht="48.75" hidden="1" outlineLevel="1" thickBot="1">
      <c r="A14" s="132" t="s">
        <v>633</v>
      </c>
      <c r="B14" s="201">
        <f>200*12</f>
        <v>2400</v>
      </c>
      <c r="C14" s="137" t="s">
        <v>565</v>
      </c>
      <c r="D14" s="138">
        <v>0.02</v>
      </c>
      <c r="E14" s="140"/>
      <c r="F14" s="133" t="s">
        <v>566</v>
      </c>
      <c r="G14" s="148">
        <f>-$B$14*G9*G3/1*(1+$D$14)^G3</f>
        <v>0</v>
      </c>
      <c r="H14" s="148">
        <f t="shared" ref="H14:N14" si="59">-$B$14*H9*(1+$D$14)^H3</f>
        <v>0</v>
      </c>
      <c r="I14" s="148">
        <f t="shared" si="59"/>
        <v>0</v>
      </c>
      <c r="J14" s="148">
        <f t="shared" si="59"/>
        <v>0</v>
      </c>
      <c r="K14" s="148">
        <f t="shared" si="59"/>
        <v>0</v>
      </c>
      <c r="L14" s="148">
        <f t="shared" si="59"/>
        <v>0</v>
      </c>
      <c r="M14" s="148">
        <f t="shared" si="59"/>
        <v>0</v>
      </c>
      <c r="N14" s="148">
        <f t="shared" si="59"/>
        <v>0</v>
      </c>
      <c r="O14" s="148">
        <f t="shared" ref="O14:Y14" si="60">-$B$14*O9*(1+$D$14)^O3</f>
        <v>0</v>
      </c>
      <c r="P14" s="148">
        <f t="shared" si="60"/>
        <v>0</v>
      </c>
      <c r="Q14" s="148">
        <f t="shared" si="60"/>
        <v>0</v>
      </c>
      <c r="R14" s="148">
        <f t="shared" si="60"/>
        <v>0</v>
      </c>
      <c r="S14" s="148">
        <f t="shared" si="60"/>
        <v>0</v>
      </c>
      <c r="T14" s="148">
        <f t="shared" si="60"/>
        <v>0</v>
      </c>
      <c r="U14" s="148">
        <f t="shared" si="60"/>
        <v>0</v>
      </c>
      <c r="V14" s="148">
        <f t="shared" si="60"/>
        <v>0</v>
      </c>
      <c r="W14" s="148">
        <f t="shared" si="60"/>
        <v>0</v>
      </c>
      <c r="X14" s="148">
        <f t="shared" si="60"/>
        <v>0</v>
      </c>
      <c r="Y14" s="148">
        <f t="shared" si="60"/>
        <v>0</v>
      </c>
      <c r="Z14" s="178"/>
    </row>
    <row r="15" spans="1:26" ht="12.75" hidden="1" outlineLevel="1" collapsed="1" thickTop="1">
      <c r="A15" s="140"/>
      <c r="B15" s="202"/>
      <c r="C15" s="143"/>
      <c r="D15" s="143"/>
      <c r="E15" s="140"/>
      <c r="F15" s="125" t="s">
        <v>570</v>
      </c>
      <c r="G15" s="124">
        <f>G8+G10+G11+G12+G13+G14</f>
        <v>0</v>
      </c>
      <c r="H15" s="124">
        <f t="shared" ref="H15:N15" si="61">H8+H10+H11+H12+H13+H14</f>
        <v>0</v>
      </c>
      <c r="I15" s="124">
        <f t="shared" si="61"/>
        <v>0</v>
      </c>
      <c r="J15" s="124">
        <f t="shared" si="61"/>
        <v>0</v>
      </c>
      <c r="K15" s="124">
        <f t="shared" si="61"/>
        <v>0</v>
      </c>
      <c r="L15" s="124">
        <f t="shared" si="61"/>
        <v>0</v>
      </c>
      <c r="M15" s="124">
        <f t="shared" si="61"/>
        <v>0</v>
      </c>
      <c r="N15" s="124">
        <f t="shared" si="61"/>
        <v>0</v>
      </c>
      <c r="O15" s="124">
        <f t="shared" ref="O15:Y15" si="62">O8+O10+O11+O12+O13+O14</f>
        <v>0</v>
      </c>
      <c r="P15" s="124">
        <f t="shared" si="62"/>
        <v>0</v>
      </c>
      <c r="Q15" s="124">
        <f t="shared" si="62"/>
        <v>0</v>
      </c>
      <c r="R15" s="124">
        <f t="shared" si="62"/>
        <v>0</v>
      </c>
      <c r="S15" s="124">
        <f t="shared" si="62"/>
        <v>0</v>
      </c>
      <c r="T15" s="124">
        <f t="shared" si="62"/>
        <v>0</v>
      </c>
      <c r="U15" s="124">
        <f t="shared" si="62"/>
        <v>0</v>
      </c>
      <c r="V15" s="124">
        <f t="shared" si="62"/>
        <v>0</v>
      </c>
      <c r="W15" s="124">
        <f t="shared" si="62"/>
        <v>0</v>
      </c>
      <c r="X15" s="124">
        <f t="shared" si="62"/>
        <v>0</v>
      </c>
      <c r="Y15" s="124">
        <f t="shared" si="62"/>
        <v>0</v>
      </c>
      <c r="Z15" s="124"/>
    </row>
    <row r="16" spans="1:26" ht="24" hidden="1" outlineLevel="1">
      <c r="A16" s="138"/>
      <c r="B16" s="203"/>
      <c r="C16" s="140"/>
      <c r="D16" s="140"/>
      <c r="E16" s="140"/>
      <c r="F16" s="125" t="s">
        <v>572</v>
      </c>
      <c r="G16" s="124">
        <f>G7+G15</f>
        <v>0</v>
      </c>
      <c r="H16" s="124">
        <f t="shared" ref="H16:N16" si="63">H7+H15</f>
        <v>12978471.42569281</v>
      </c>
      <c r="I16" s="124">
        <f t="shared" si="63"/>
        <v>34352716.016666301</v>
      </c>
      <c r="J16" s="124">
        <f t="shared" si="63"/>
        <v>62350768.47395248</v>
      </c>
      <c r="K16" s="124">
        <f t="shared" si="63"/>
        <v>93520541.141766086</v>
      </c>
      <c r="L16" s="124">
        <f t="shared" si="63"/>
        <v>128138104.65080225</v>
      </c>
      <c r="M16" s="124">
        <f t="shared" si="63"/>
        <v>166501022.33464774</v>
      </c>
      <c r="N16" s="124">
        <f t="shared" si="63"/>
        <v>208929922.85277829</v>
      </c>
      <c r="O16" s="124">
        <f t="shared" ref="O16:Y16" si="64">O7+O15</f>
        <v>255770183.41954619</v>
      </c>
      <c r="P16" s="124">
        <f t="shared" si="64"/>
        <v>307393731.20772177</v>
      </c>
      <c r="Q16" s="124">
        <f t="shared" si="64"/>
        <v>364200971.00271219</v>
      </c>
      <c r="R16" s="124">
        <f t="shared" si="64"/>
        <v>426622847.72466487</v>
      </c>
      <c r="S16" s="124">
        <f t="shared" si="64"/>
        <v>495123053.01244366</v>
      </c>
      <c r="T16" s="124">
        <f t="shared" si="64"/>
        <v>570200385.67828417</v>
      </c>
      <c r="U16" s="124">
        <f t="shared" si="64"/>
        <v>652391276.49725151</v>
      </c>
      <c r="V16" s="124">
        <f t="shared" si="64"/>
        <v>742272488.49409807</v>
      </c>
      <c r="W16" s="124">
        <f t="shared" si="64"/>
        <v>840464004.63453996</v>
      </c>
      <c r="X16" s="124">
        <f t="shared" si="64"/>
        <v>947632115.62133706</v>
      </c>
      <c r="Y16" s="124">
        <f t="shared" si="64"/>
        <v>1064492721.3410546</v>
      </c>
      <c r="Z16" s="124"/>
    </row>
    <row r="17" spans="1:26" ht="48" collapsed="1">
      <c r="A17" s="132" t="s">
        <v>589</v>
      </c>
      <c r="B17" s="231">
        <v>0.3</v>
      </c>
      <c r="C17" s="273">
        <f>B6*14%*25%</f>
        <v>5.2430000000000003</v>
      </c>
      <c r="D17" s="140" t="s">
        <v>658</v>
      </c>
      <c r="E17" s="140"/>
      <c r="F17" s="125" t="s">
        <v>571</v>
      </c>
      <c r="G17" s="120">
        <f>IF(G16&gt;0,-(G16)*$B$17,0)</f>
        <v>0</v>
      </c>
      <c r="H17" s="120">
        <f t="shared" ref="H17:K17" si="65">IF(H16&gt;0,-(H16)*$B$17,0)</f>
        <v>-3893541.4277078426</v>
      </c>
      <c r="I17" s="120">
        <f t="shared" si="65"/>
        <v>-10305814.80499989</v>
      </c>
      <c r="J17" s="120">
        <f t="shared" si="65"/>
        <v>-18705230.542185742</v>
      </c>
      <c r="K17" s="120">
        <f t="shared" si="65"/>
        <v>-28056162.342529826</v>
      </c>
      <c r="L17" s="120">
        <f t="shared" ref="L17" si="66">IF(L16&gt;0,-(L16)*$B$17,0)</f>
        <v>-38441431.395240672</v>
      </c>
      <c r="M17" s="120">
        <f t="shared" ref="M17" si="67">IF(M16&gt;0,-(M16)*$B$17,0)</f>
        <v>-49950306.700394325</v>
      </c>
      <c r="N17" s="120">
        <f t="shared" ref="N17:O17" si="68">IF(N16&gt;0,-(N16)*$B$17,0)</f>
        <v>-62678976.855833486</v>
      </c>
      <c r="O17" s="120">
        <f t="shared" si="68"/>
        <v>-76731055.025863856</v>
      </c>
      <c r="P17" s="120">
        <f t="shared" ref="P17" si="69">IF(P16&gt;0,-(P16)*$B$17,0)</f>
        <v>-92218119.362316534</v>
      </c>
      <c r="Q17" s="120">
        <f t="shared" ref="Q17" si="70">IF(Q16&gt;0,-(Q16)*$B$17,0)</f>
        <v>-109260291.30081366</v>
      </c>
      <c r="R17" s="120">
        <f t="shared" ref="R17:S17" si="71">IF(R16&gt;0,-(R16)*$B$17,0)</f>
        <v>-127986854.31739946</v>
      </c>
      <c r="S17" s="120">
        <f t="shared" si="71"/>
        <v>-148536915.9037331</v>
      </c>
      <c r="T17" s="120">
        <f t="shared" ref="T17" si="72">IF(T16&gt;0,-(T16)*$B$17,0)</f>
        <v>-171060115.70348525</v>
      </c>
      <c r="U17" s="120">
        <f t="shared" ref="U17" si="73">IF(U16&gt;0,-(U16)*$B$17,0)</f>
        <v>-195717382.94917545</v>
      </c>
      <c r="V17" s="120">
        <f t="shared" ref="V17:W17" si="74">IF(V16&gt;0,-(V16)*$B$17,0)</f>
        <v>-222681746.54822943</v>
      </c>
      <c r="W17" s="120">
        <f t="shared" si="74"/>
        <v>-252139201.39036196</v>
      </c>
      <c r="X17" s="120">
        <f t="shared" ref="X17" si="75">IF(X16&gt;0,-(X16)*$B$17,0)</f>
        <v>-284289634.68640113</v>
      </c>
      <c r="Y17" s="120">
        <f t="shared" ref="Y17" si="76">IF(Y16&gt;0,-(Y16)*$B$17,0)</f>
        <v>-319347816.40231633</v>
      </c>
      <c r="Z17" s="120"/>
    </row>
    <row r="18" spans="1:26">
      <c r="A18" s="138"/>
      <c r="B18" s="204"/>
      <c r="C18" s="137"/>
      <c r="D18" s="140"/>
      <c r="E18" s="140"/>
      <c r="F18" s="125" t="s">
        <v>573</v>
      </c>
      <c r="G18" s="124">
        <f>G16+G17</f>
        <v>0</v>
      </c>
      <c r="H18" s="124">
        <f t="shared" ref="H18:Y18" si="77">H16+H17</f>
        <v>9084929.9979849681</v>
      </c>
      <c r="I18" s="124">
        <f t="shared" si="77"/>
        <v>24046901.211666413</v>
      </c>
      <c r="J18" s="124">
        <f t="shared" si="77"/>
        <v>43645537.931766734</v>
      </c>
      <c r="K18" s="124">
        <f t="shared" si="77"/>
        <v>65464378.79923626</v>
      </c>
      <c r="L18" s="124">
        <f t="shared" si="77"/>
        <v>89696673.25556159</v>
      </c>
      <c r="M18" s="124">
        <f t="shared" si="77"/>
        <v>116550715.63425341</v>
      </c>
      <c r="N18" s="124">
        <f t="shared" si="77"/>
        <v>146250945.99694479</v>
      </c>
      <c r="O18" s="124">
        <f t="shared" si="77"/>
        <v>179039128.39368233</v>
      </c>
      <c r="P18" s="124">
        <f t="shared" si="77"/>
        <v>215175611.84540522</v>
      </c>
      <c r="Q18" s="124">
        <f t="shared" si="77"/>
        <v>254940679.70189852</v>
      </c>
      <c r="R18" s="124">
        <f t="shared" si="77"/>
        <v>298635993.40726542</v>
      </c>
      <c r="S18" s="124">
        <f t="shared" si="77"/>
        <v>346586137.10871053</v>
      </c>
      <c r="T18" s="124">
        <f t="shared" si="77"/>
        <v>399140269.97479892</v>
      </c>
      <c r="U18" s="124">
        <f t="shared" si="77"/>
        <v>456673893.54807603</v>
      </c>
      <c r="V18" s="124">
        <f t="shared" si="77"/>
        <v>519590741.94586861</v>
      </c>
      <c r="W18" s="124">
        <f t="shared" si="77"/>
        <v>588324803.24417806</v>
      </c>
      <c r="X18" s="124">
        <f t="shared" si="77"/>
        <v>663342480.93493593</v>
      </c>
      <c r="Y18" s="124">
        <f t="shared" si="77"/>
        <v>745144904.93873823</v>
      </c>
      <c r="Z18" s="124"/>
    </row>
    <row r="19" spans="1:26">
      <c r="A19" s="142"/>
      <c r="B19" s="201"/>
      <c r="C19" s="137"/>
      <c r="D19" s="140"/>
      <c r="E19" s="140"/>
      <c r="F19" s="133" t="s">
        <v>25</v>
      </c>
      <c r="G19" s="28"/>
      <c r="H19" s="115">
        <f t="shared" ref="H19:Y19" si="78">H18/H7</f>
        <v>0.70000000000000007</v>
      </c>
      <c r="I19" s="115">
        <f t="shared" si="78"/>
        <v>0.70000000000000007</v>
      </c>
      <c r="J19" s="115">
        <f t="shared" si="78"/>
        <v>0.7</v>
      </c>
      <c r="K19" s="115">
        <f t="shared" si="78"/>
        <v>0.7</v>
      </c>
      <c r="L19" s="115">
        <f t="shared" si="78"/>
        <v>0.70000000000000007</v>
      </c>
      <c r="M19" s="115">
        <f t="shared" si="78"/>
        <v>0.7</v>
      </c>
      <c r="N19" s="115">
        <f t="shared" si="78"/>
        <v>0.7</v>
      </c>
      <c r="O19" s="115">
        <f t="shared" si="78"/>
        <v>0.7</v>
      </c>
      <c r="P19" s="115">
        <f t="shared" si="78"/>
        <v>0.7</v>
      </c>
      <c r="Q19" s="115">
        <f t="shared" si="78"/>
        <v>0.7</v>
      </c>
      <c r="R19" s="115">
        <f t="shared" si="78"/>
        <v>0.70000000000000007</v>
      </c>
      <c r="S19" s="115">
        <f t="shared" si="78"/>
        <v>0.7</v>
      </c>
      <c r="T19" s="115">
        <f t="shared" si="78"/>
        <v>0.7</v>
      </c>
      <c r="U19" s="115">
        <f t="shared" si="78"/>
        <v>0.7</v>
      </c>
      <c r="V19" s="115">
        <f t="shared" si="78"/>
        <v>0.7</v>
      </c>
      <c r="W19" s="115">
        <f t="shared" si="78"/>
        <v>0.70000000000000007</v>
      </c>
      <c r="X19" s="115">
        <f t="shared" si="78"/>
        <v>0.7</v>
      </c>
      <c r="Y19" s="115">
        <f t="shared" si="78"/>
        <v>0.70000000000000007</v>
      </c>
      <c r="Z19" s="115"/>
    </row>
    <row r="20" spans="1:26" s="28" customFormat="1" ht="60" hidden="1" outlineLevel="1">
      <c r="A20" s="101" t="s">
        <v>602</v>
      </c>
      <c r="B20" s="176">
        <v>0.1</v>
      </c>
      <c r="C20" s="137" t="s">
        <v>586</v>
      </c>
      <c r="D20" s="138"/>
      <c r="E20" s="140"/>
      <c r="F20" s="125" t="s">
        <v>592</v>
      </c>
      <c r="G20" s="120">
        <f>H20/4</f>
        <v>0</v>
      </c>
      <c r="H20" s="120">
        <f t="shared" ref="H20:X20" si="79">I8*($B$20+$D$20*H3)</f>
        <v>0</v>
      </c>
      <c r="I20" s="120">
        <f t="shared" si="79"/>
        <v>0</v>
      </c>
      <c r="J20" s="120">
        <f t="shared" si="79"/>
        <v>0</v>
      </c>
      <c r="K20" s="120">
        <f t="shared" si="79"/>
        <v>0</v>
      </c>
      <c r="L20" s="120">
        <f t="shared" si="79"/>
        <v>0</v>
      </c>
      <c r="M20" s="120">
        <f t="shared" si="79"/>
        <v>0</v>
      </c>
      <c r="N20" s="120">
        <f t="shared" si="79"/>
        <v>0</v>
      </c>
      <c r="O20" s="120">
        <f t="shared" si="79"/>
        <v>0</v>
      </c>
      <c r="P20" s="120">
        <f t="shared" si="79"/>
        <v>0</v>
      </c>
      <c r="Q20" s="120">
        <f t="shared" si="79"/>
        <v>0</v>
      </c>
      <c r="R20" s="120">
        <f t="shared" si="79"/>
        <v>0</v>
      </c>
      <c r="S20" s="120">
        <f t="shared" si="79"/>
        <v>0</v>
      </c>
      <c r="T20" s="120">
        <f t="shared" si="79"/>
        <v>0</v>
      </c>
      <c r="U20" s="120">
        <f t="shared" si="79"/>
        <v>0</v>
      </c>
      <c r="V20" s="120">
        <f t="shared" si="79"/>
        <v>0</v>
      </c>
      <c r="W20" s="120">
        <f t="shared" si="79"/>
        <v>0</v>
      </c>
      <c r="X20" s="120">
        <f t="shared" si="79"/>
        <v>0</v>
      </c>
      <c r="Y20" s="120">
        <f>Y8*B21</f>
        <v>0</v>
      </c>
      <c r="Z20" s="120"/>
    </row>
    <row r="21" spans="1:26" s="28" customFormat="1" collapsed="1">
      <c r="A21" s="101" t="s">
        <v>24</v>
      </c>
      <c r="B21" s="205">
        <v>0.05</v>
      </c>
      <c r="C21" s="140"/>
      <c r="D21" s="140"/>
      <c r="E21" s="140"/>
      <c r="F21" s="125" t="s">
        <v>574</v>
      </c>
      <c r="G21" s="124">
        <f>G18+G20</f>
        <v>0</v>
      </c>
      <c r="H21" s="124">
        <f t="shared" ref="H21:Y21" si="80">H18+H20</f>
        <v>9084929.9979849681</v>
      </c>
      <c r="I21" s="124">
        <f t="shared" si="80"/>
        <v>24046901.211666413</v>
      </c>
      <c r="J21" s="124">
        <f t="shared" si="80"/>
        <v>43645537.931766734</v>
      </c>
      <c r="K21" s="124">
        <f t="shared" si="80"/>
        <v>65464378.79923626</v>
      </c>
      <c r="L21" s="124">
        <f t="shared" si="80"/>
        <v>89696673.25556159</v>
      </c>
      <c r="M21" s="124">
        <f t="shared" si="80"/>
        <v>116550715.63425341</v>
      </c>
      <c r="N21" s="124">
        <f t="shared" si="80"/>
        <v>146250945.99694479</v>
      </c>
      <c r="O21" s="124">
        <f t="shared" si="80"/>
        <v>179039128.39368233</v>
      </c>
      <c r="P21" s="124">
        <f t="shared" si="80"/>
        <v>215175611.84540522</v>
      </c>
      <c r="Q21" s="124">
        <f t="shared" si="80"/>
        <v>254940679.70189852</v>
      </c>
      <c r="R21" s="124">
        <f t="shared" si="80"/>
        <v>298635993.40726542</v>
      </c>
      <c r="S21" s="124">
        <f t="shared" si="80"/>
        <v>346586137.10871053</v>
      </c>
      <c r="T21" s="124">
        <f t="shared" si="80"/>
        <v>399140269.97479892</v>
      </c>
      <c r="U21" s="124">
        <f t="shared" si="80"/>
        <v>456673893.54807603</v>
      </c>
      <c r="V21" s="124">
        <f t="shared" si="80"/>
        <v>519590741.94586861</v>
      </c>
      <c r="W21" s="124">
        <f t="shared" si="80"/>
        <v>588324803.24417806</v>
      </c>
      <c r="X21" s="124">
        <f t="shared" si="80"/>
        <v>663342480.93493593</v>
      </c>
      <c r="Y21" s="124">
        <f t="shared" si="80"/>
        <v>745144904.93873823</v>
      </c>
      <c r="Z21" s="124"/>
    </row>
    <row r="22" spans="1:26" s="107" customFormat="1" hidden="1" outlineLevel="1">
      <c r="A22" s="139"/>
      <c r="B22" s="203"/>
      <c r="C22" s="140"/>
      <c r="D22" s="140"/>
      <c r="E22" s="140"/>
      <c r="F22" s="158" t="s">
        <v>596</v>
      </c>
      <c r="G22" s="120">
        <f>G21</f>
        <v>0</v>
      </c>
      <c r="H22" s="120">
        <f>G22+H21</f>
        <v>9084929.9979849681</v>
      </c>
      <c r="I22" s="120">
        <f t="shared" ref="I22:N22" si="81">H22+I21</f>
        <v>33131831.209651381</v>
      </c>
      <c r="J22" s="120">
        <f t="shared" si="81"/>
        <v>76777369.141418114</v>
      </c>
      <c r="K22" s="120">
        <f t="shared" si="81"/>
        <v>142241747.94065437</v>
      </c>
      <c r="L22" s="120">
        <f t="shared" si="81"/>
        <v>231938421.19621596</v>
      </c>
      <c r="M22" s="120">
        <f t="shared" si="81"/>
        <v>348489136.83046937</v>
      </c>
      <c r="N22" s="120">
        <f t="shared" si="81"/>
        <v>494740082.82741416</v>
      </c>
      <c r="O22" s="120">
        <f t="shared" ref="O22" si="82">N22+O21</f>
        <v>673779211.22109652</v>
      </c>
      <c r="P22" s="120">
        <f t="shared" ref="P22" si="83">O22+P21</f>
        <v>888954823.06650174</v>
      </c>
      <c r="Q22" s="120">
        <f t="shared" ref="Q22" si="84">P22+Q21</f>
        <v>1143895502.7684002</v>
      </c>
      <c r="R22" s="120">
        <f t="shared" ref="R22" si="85">Q22+R21</f>
        <v>1442531496.1756656</v>
      </c>
      <c r="S22" s="120">
        <f t="shared" ref="S22" si="86">R22+S21</f>
        <v>1789117633.2843761</v>
      </c>
      <c r="T22" s="120">
        <f t="shared" ref="T22" si="87">S22+T21</f>
        <v>2188257903.2591753</v>
      </c>
      <c r="U22" s="120">
        <f t="shared" ref="U22" si="88">T22+U21</f>
        <v>2644931796.8072515</v>
      </c>
      <c r="V22" s="120">
        <f t="shared" ref="V22" si="89">U22+V21</f>
        <v>3164522538.7531199</v>
      </c>
      <c r="W22" s="120">
        <f t="shared" ref="W22" si="90">V22+W21</f>
        <v>3752847341.9972982</v>
      </c>
      <c r="X22" s="120">
        <f t="shared" ref="X22" si="91">W22+X21</f>
        <v>4416189822.9322338</v>
      </c>
      <c r="Y22" s="120">
        <f t="shared" ref="Y22" si="92">X22+Y21</f>
        <v>5161334727.8709717</v>
      </c>
      <c r="Z22" s="120"/>
    </row>
    <row r="23" spans="1:26" s="28" customFormat="1" ht="24.75" collapsed="1" thickBot="1">
      <c r="A23" s="101" t="s">
        <v>12</v>
      </c>
      <c r="B23" s="206">
        <f>Risk!F32</f>
        <v>0.10000000000000002</v>
      </c>
      <c r="C23" s="140"/>
      <c r="D23" s="140"/>
      <c r="E23" s="140"/>
      <c r="F23" s="145" t="s">
        <v>22</v>
      </c>
      <c r="G23" s="149">
        <f t="shared" ref="G23:Y23" si="93">1/(1+$B$23)^G3</f>
        <v>0.93101244462222288</v>
      </c>
      <c r="H23" s="149">
        <f t="shared" si="93"/>
        <v>0.84637494965656612</v>
      </c>
      <c r="I23" s="149">
        <f t="shared" si="93"/>
        <v>0.76943177241506011</v>
      </c>
      <c r="J23" s="149">
        <f t="shared" si="93"/>
        <v>0.69948342946823638</v>
      </c>
      <c r="K23" s="149">
        <f t="shared" si="93"/>
        <v>0.63589402678930573</v>
      </c>
      <c r="L23" s="149">
        <f t="shared" si="93"/>
        <v>0.57808547889936879</v>
      </c>
      <c r="M23" s="149">
        <f t="shared" si="93"/>
        <v>0.52553225354488076</v>
      </c>
      <c r="N23" s="149">
        <f t="shared" si="93"/>
        <v>0.47775659413170962</v>
      </c>
      <c r="O23" s="149">
        <f t="shared" si="93"/>
        <v>0.4343241764833724</v>
      </c>
      <c r="P23" s="149">
        <f t="shared" si="93"/>
        <v>0.39484016043942943</v>
      </c>
      <c r="Q23" s="149">
        <f t="shared" si="93"/>
        <v>0.35894560039948126</v>
      </c>
      <c r="R23" s="149">
        <f t="shared" si="93"/>
        <v>0.32631418218134656</v>
      </c>
      <c r="S23" s="149">
        <f t="shared" si="93"/>
        <v>0.29664925652849683</v>
      </c>
      <c r="T23" s="149">
        <f t="shared" si="93"/>
        <v>0.26968114229863355</v>
      </c>
      <c r="U23" s="149">
        <f t="shared" si="93"/>
        <v>0.24516467481693954</v>
      </c>
      <c r="V23" s="149">
        <f t="shared" si="93"/>
        <v>0.22287697710630863</v>
      </c>
      <c r="W23" s="149">
        <f t="shared" si="93"/>
        <v>0.20261543373300783</v>
      </c>
      <c r="X23" s="149">
        <f t="shared" si="93"/>
        <v>0.18419584884818896</v>
      </c>
      <c r="Y23" s="149">
        <f t="shared" si="93"/>
        <v>0.16745077168017175</v>
      </c>
      <c r="Z23" s="149"/>
    </row>
    <row r="24" spans="1:26" s="107" customFormat="1" ht="12.75" thickTop="1">
      <c r="A24" s="139"/>
      <c r="B24" s="203"/>
      <c r="C24" s="140"/>
      <c r="D24" s="140"/>
      <c r="E24" s="140"/>
      <c r="F24" s="125" t="s">
        <v>16</v>
      </c>
      <c r="G24" s="124">
        <f>G21*G23</f>
        <v>0</v>
      </c>
      <c r="H24" s="124">
        <f>H21*H23</f>
        <v>7689257.1696779551</v>
      </c>
      <c r="I24" s="124">
        <f t="shared" ref="I24:N24" si="94">I21*I23</f>
        <v>18502449.820382345</v>
      </c>
      <c r="J24" s="124">
        <f t="shared" si="94"/>
        <v>30529330.55349819</v>
      </c>
      <c r="K24" s="124">
        <f t="shared" si="94"/>
        <v>41628407.445906803</v>
      </c>
      <c r="L24" s="124">
        <f t="shared" si="94"/>
        <v>51852344.314621523</v>
      </c>
      <c r="M24" s="124">
        <f t="shared" si="94"/>
        <v>61251160.239537761</v>
      </c>
      <c r="N24" s="124">
        <f t="shared" si="94"/>
        <v>69872353.848040938</v>
      </c>
      <c r="O24" s="124">
        <f t="shared" ref="O24:Y24" si="95">O21*O23</f>
        <v>77761021.997886851</v>
      </c>
      <c r="P24" s="124">
        <f t="shared" si="95"/>
        <v>84959973.103692189</v>
      </c>
      <c r="Q24" s="124">
        <f t="shared" si="95"/>
        <v>91509835.341849804</v>
      </c>
      <c r="R24" s="124">
        <f t="shared" si="95"/>
        <v>97449159.958605826</v>
      </c>
      <c r="S24" s="124">
        <f t="shared" si="95"/>
        <v>102814519.89638264</v>
      </c>
      <c r="T24" s="124">
        <f t="shared" si="95"/>
        <v>107640603.94418876</v>
      </c>
      <c r="U24" s="124">
        <f t="shared" si="95"/>
        <v>111960306.60909973</v>
      </c>
      <c r="V24" s="124">
        <f t="shared" si="95"/>
        <v>115804813.89731927</v>
      </c>
      <c r="W24" s="124">
        <f t="shared" si="95"/>
        <v>119203685.18520562</v>
      </c>
      <c r="X24" s="124">
        <f t="shared" si="95"/>
        <v>122184931.35287413</v>
      </c>
      <c r="Y24" s="124">
        <f t="shared" si="95"/>
        <v>124775089.34553994</v>
      </c>
      <c r="Z24" s="124"/>
    </row>
    <row r="25" spans="1:26" s="107" customFormat="1">
      <c r="A25" s="139"/>
      <c r="B25" s="203"/>
      <c r="C25" s="140"/>
      <c r="D25" s="140"/>
      <c r="E25" s="140"/>
      <c r="F25" s="146" t="s">
        <v>608</v>
      </c>
      <c r="G25" s="124">
        <f>SUM(G24:Z24)</f>
        <v>1437389244.0243104</v>
      </c>
      <c r="H25" s="124"/>
      <c r="I25" s="124"/>
      <c r="J25" s="124"/>
      <c r="K25" s="124"/>
      <c r="L25" s="124"/>
      <c r="M25" s="124"/>
      <c r="N25" s="124"/>
      <c r="O25" s="124"/>
      <c r="P25" s="124"/>
      <c r="Q25" s="124"/>
      <c r="R25" s="124"/>
      <c r="S25" s="124"/>
      <c r="T25" s="124"/>
      <c r="U25" s="124"/>
      <c r="V25" s="124"/>
      <c r="W25" s="124"/>
      <c r="X25" s="124"/>
      <c r="Y25" s="124"/>
      <c r="Z25" s="124"/>
    </row>
    <row r="26" spans="1:26" s="107" customFormat="1" ht="24">
      <c r="A26" s="188" t="s">
        <v>619</v>
      </c>
      <c r="B26" s="207">
        <f>1/(1-B17/D26*(1/B23-1/(B23*(1+B23)^D26)))</f>
        <v>1.1521768520944684</v>
      </c>
      <c r="C26" s="140" t="s">
        <v>621</v>
      </c>
      <c r="D26" s="208">
        <v>19</v>
      </c>
      <c r="E26" s="140"/>
      <c r="F26" s="147" t="s">
        <v>610</v>
      </c>
      <c r="G26" s="124">
        <f>G25*(B26-1)</f>
        <v>218737370.39006722</v>
      </c>
      <c r="I26" s="124"/>
      <c r="J26" s="124"/>
      <c r="K26" s="124"/>
      <c r="L26" s="124"/>
      <c r="M26" s="124"/>
      <c r="N26" s="124"/>
      <c r="O26" s="124"/>
      <c r="P26" s="124"/>
      <c r="Q26" s="124"/>
      <c r="R26" s="124"/>
      <c r="S26" s="124"/>
      <c r="T26" s="124"/>
      <c r="U26" s="124"/>
      <c r="V26" s="124"/>
      <c r="W26" s="124"/>
      <c r="X26" s="124"/>
      <c r="Y26" s="124"/>
      <c r="Z26" s="124"/>
    </row>
    <row r="27" spans="1:26" s="107" customFormat="1">
      <c r="A27" s="139"/>
      <c r="B27" s="140"/>
      <c r="C27" s="140"/>
      <c r="D27" s="140"/>
      <c r="E27" s="140"/>
      <c r="F27" s="145" t="s">
        <v>654</v>
      </c>
      <c r="G27" s="124">
        <f>-G25*1.5%</f>
        <v>-21560838.660364654</v>
      </c>
      <c r="H27" s="124"/>
      <c r="I27" s="124"/>
      <c r="J27" s="124"/>
      <c r="K27" s="124"/>
      <c r="L27" s="124"/>
      <c r="M27" s="124"/>
      <c r="N27" s="124"/>
      <c r="O27" s="124"/>
    </row>
    <row r="28" spans="1:26" s="107" customFormat="1">
      <c r="A28" s="139"/>
      <c r="B28" s="203"/>
      <c r="C28" s="140"/>
      <c r="D28" s="140"/>
      <c r="E28" s="140"/>
      <c r="F28" s="146" t="s">
        <v>611</v>
      </c>
      <c r="G28" s="124">
        <f>G25+G26+G27</f>
        <v>1634565775.7540131</v>
      </c>
      <c r="H28" s="124"/>
      <c r="I28" s="124"/>
      <c r="J28" s="124"/>
      <c r="K28" s="124"/>
      <c r="L28" s="124"/>
      <c r="M28" s="124"/>
      <c r="N28" s="124"/>
      <c r="O28" s="124"/>
      <c r="P28" s="124"/>
      <c r="Q28" s="124"/>
      <c r="R28" s="124"/>
      <c r="S28" s="124"/>
      <c r="T28" s="124"/>
      <c r="U28" s="124"/>
      <c r="V28" s="124"/>
      <c r="W28" s="124"/>
      <c r="X28" s="124"/>
      <c r="Y28" s="124"/>
      <c r="Z28" s="124"/>
    </row>
  </sheetData>
  <mergeCells count="1">
    <mergeCell ref="B1:D1"/>
  </mergeCells>
  <pageMargins left="0.7" right="0.7" top="0.78740157499999996" bottom="0.78740157499999996"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D25" sqref="D25"/>
    </sheetView>
  </sheetViews>
  <sheetFormatPr baseColWidth="10" defaultColWidth="10.85546875" defaultRowHeight="12"/>
  <cols>
    <col min="1" max="1" width="33.7109375" style="50" customWidth="1"/>
    <col min="2" max="2" width="26.42578125" style="3" customWidth="1"/>
    <col min="3" max="3" width="23.28515625" style="17" customWidth="1"/>
    <col min="4" max="4" width="13.42578125" style="17" bestFit="1" customWidth="1"/>
    <col min="5" max="5" width="11.85546875" style="3" customWidth="1"/>
    <col min="6" max="6" width="49.140625" style="17" customWidth="1"/>
    <col min="7" max="16384" width="10.85546875" style="17"/>
  </cols>
  <sheetData>
    <row r="1" spans="1:6">
      <c r="B1" s="27"/>
      <c r="C1" s="28"/>
      <c r="D1" s="28"/>
      <c r="E1" s="27"/>
    </row>
    <row r="2" spans="1:6">
      <c r="B2" s="27"/>
      <c r="C2" s="28"/>
      <c r="D2" s="28"/>
      <c r="E2" s="27"/>
    </row>
    <row r="3" spans="1:6" s="3" customFormat="1">
      <c r="A3" s="77" t="s">
        <v>613</v>
      </c>
      <c r="B3" s="19">
        <v>4</v>
      </c>
      <c r="C3" s="27" t="s">
        <v>612</v>
      </c>
      <c r="D3" s="27"/>
      <c r="E3" s="27"/>
    </row>
    <row r="4" spans="1:6" ht="13.5" thickBot="1">
      <c r="A4" s="92"/>
      <c r="B4" s="1"/>
      <c r="C4" s="88"/>
      <c r="D4" s="88"/>
      <c r="E4" s="1"/>
      <c r="F4" s="88"/>
    </row>
    <row r="5" spans="1:6" ht="13.5" thickBot="1">
      <c r="A5" s="92" t="s">
        <v>58</v>
      </c>
      <c r="B5" s="81" t="s">
        <v>57</v>
      </c>
      <c r="C5" s="82" t="s">
        <v>71</v>
      </c>
      <c r="D5" s="83">
        <f>ROUND(250000,-4)</f>
        <v>250000</v>
      </c>
      <c r="E5" s="1"/>
      <c r="F5" s="88"/>
    </row>
    <row r="6" spans="1:6" ht="13.5" thickBot="1">
      <c r="A6" s="92"/>
      <c r="B6" s="84" t="s">
        <v>59</v>
      </c>
      <c r="C6" s="179">
        <v>1.5</v>
      </c>
      <c r="D6" s="85">
        <f>C6*$D$5</f>
        <v>375000</v>
      </c>
      <c r="E6" s="1"/>
      <c r="F6" s="88"/>
    </row>
    <row r="7" spans="1:6" ht="13.5" thickBot="1">
      <c r="A7" s="92"/>
      <c r="B7" s="84" t="s">
        <v>60</v>
      </c>
      <c r="C7" s="179">
        <v>-0.5</v>
      </c>
      <c r="D7" s="85">
        <f t="shared" ref="D7:D17" si="0">C7*$D$5</f>
        <v>-125000</v>
      </c>
      <c r="E7" s="1"/>
      <c r="F7" s="88"/>
    </row>
    <row r="8" spans="1:6" ht="13.5" thickBot="1">
      <c r="A8" s="92"/>
      <c r="B8" s="84" t="s">
        <v>61</v>
      </c>
      <c r="C8" s="179">
        <v>2</v>
      </c>
      <c r="D8" s="85">
        <f t="shared" si="0"/>
        <v>500000</v>
      </c>
      <c r="E8" s="1"/>
      <c r="F8" s="88"/>
    </row>
    <row r="9" spans="1:6" ht="13.5" thickBot="1">
      <c r="A9" s="92"/>
      <c r="B9" s="84" t="s">
        <v>62</v>
      </c>
      <c r="C9" s="179">
        <v>-2</v>
      </c>
      <c r="D9" s="85">
        <f t="shared" si="0"/>
        <v>-500000</v>
      </c>
      <c r="E9" s="1"/>
      <c r="F9" s="88"/>
    </row>
    <row r="10" spans="1:6" ht="13.5" thickBot="1">
      <c r="A10" s="92"/>
      <c r="B10" s="84" t="s">
        <v>63</v>
      </c>
      <c r="C10" s="179">
        <v>-1.5</v>
      </c>
      <c r="D10" s="85">
        <f t="shared" si="0"/>
        <v>-375000</v>
      </c>
      <c r="E10" s="1"/>
      <c r="F10" s="88"/>
    </row>
    <row r="11" spans="1:6" ht="13.5" thickBot="1">
      <c r="A11" s="92"/>
      <c r="B11" s="84" t="s">
        <v>64</v>
      </c>
      <c r="C11" s="179">
        <v>0</v>
      </c>
      <c r="D11" s="85">
        <f t="shared" si="0"/>
        <v>0</v>
      </c>
      <c r="E11" s="1"/>
      <c r="F11" s="88"/>
    </row>
    <row r="12" spans="1:6" ht="13.5" thickBot="1">
      <c r="A12" s="92"/>
      <c r="B12" s="84" t="s">
        <v>65</v>
      </c>
      <c r="C12" s="179">
        <v>1.5</v>
      </c>
      <c r="D12" s="85">
        <f t="shared" si="0"/>
        <v>375000</v>
      </c>
      <c r="E12" s="1"/>
      <c r="F12" s="88"/>
    </row>
    <row r="13" spans="1:6" ht="13.5" thickBot="1">
      <c r="A13" s="92"/>
      <c r="B13" s="84" t="s">
        <v>66</v>
      </c>
      <c r="C13" s="179">
        <v>1</v>
      </c>
      <c r="D13" s="85">
        <f t="shared" si="0"/>
        <v>250000</v>
      </c>
      <c r="E13" s="1"/>
      <c r="F13" s="88"/>
    </row>
    <row r="14" spans="1:6" ht="13.5" thickBot="1">
      <c r="A14" s="92"/>
      <c r="B14" s="84" t="s">
        <v>67</v>
      </c>
      <c r="C14" s="179">
        <v>-0.5</v>
      </c>
      <c r="D14" s="85">
        <f t="shared" si="0"/>
        <v>-125000</v>
      </c>
      <c r="E14" s="1"/>
      <c r="F14" s="88"/>
    </row>
    <row r="15" spans="1:6" ht="13.5" thickBot="1">
      <c r="A15" s="92"/>
      <c r="B15" s="84" t="s">
        <v>68</v>
      </c>
      <c r="C15" s="179">
        <v>1.5</v>
      </c>
      <c r="D15" s="85">
        <f t="shared" si="0"/>
        <v>375000</v>
      </c>
      <c r="E15" s="1"/>
      <c r="F15" s="88"/>
    </row>
    <row r="16" spans="1:6" ht="13.5" thickBot="1">
      <c r="A16" s="92"/>
      <c r="B16" s="84" t="s">
        <v>69</v>
      </c>
      <c r="C16" s="179">
        <v>-1.5</v>
      </c>
      <c r="D16" s="85">
        <f t="shared" si="0"/>
        <v>-375000</v>
      </c>
      <c r="E16" s="1"/>
      <c r="F16" s="88">
        <f>27.2/26.2</f>
        <v>1.0381679389312977</v>
      </c>
    </row>
    <row r="17" spans="1:6" ht="13.5" thickBot="1">
      <c r="A17" s="92"/>
      <c r="B17" s="84" t="s">
        <v>70</v>
      </c>
      <c r="C17" s="179">
        <v>1</v>
      </c>
      <c r="D17" s="85">
        <f t="shared" si="0"/>
        <v>250000</v>
      </c>
      <c r="E17" s="1"/>
      <c r="F17" s="88"/>
    </row>
    <row r="18" spans="1:6" ht="14.25" thickTop="1" thickBot="1">
      <c r="A18" s="92"/>
      <c r="B18" s="84"/>
      <c r="C18" s="86" t="s">
        <v>52</v>
      </c>
      <c r="D18" s="87">
        <f>SUM(D6:D17)</f>
        <v>625000</v>
      </c>
      <c r="E18" s="1"/>
      <c r="F18" s="88"/>
    </row>
    <row r="19" spans="1:6" ht="12.75">
      <c r="A19" s="92"/>
      <c r="B19" s="1"/>
      <c r="C19" s="88"/>
      <c r="D19" s="88"/>
      <c r="E19" s="1"/>
      <c r="F19" s="88"/>
    </row>
    <row r="20" spans="1:6" ht="12.75">
      <c r="A20" s="92"/>
      <c r="B20" s="1"/>
      <c r="C20" s="89" t="s">
        <v>53</v>
      </c>
      <c r="D20" s="90">
        <f>$B$3</f>
        <v>4</v>
      </c>
      <c r="E20" s="1"/>
      <c r="F20" s="88"/>
    </row>
    <row r="21" spans="1:6" ht="12.75">
      <c r="A21" s="92"/>
      <c r="B21" s="1"/>
      <c r="C21" s="89" t="s">
        <v>56</v>
      </c>
      <c r="D21" s="90">
        <f>D18/1000000</f>
        <v>0.625</v>
      </c>
      <c r="E21" s="1"/>
      <c r="F21" s="88"/>
    </row>
    <row r="22" spans="1:6" ht="12.75">
      <c r="A22" s="92"/>
      <c r="B22" s="1"/>
      <c r="C22" s="89" t="s">
        <v>54</v>
      </c>
      <c r="D22" s="90">
        <f>D20+D21</f>
        <v>4.625</v>
      </c>
      <c r="E22" s="1"/>
      <c r="F22" s="88"/>
    </row>
    <row r="23" spans="1:6" ht="13.5" thickBot="1">
      <c r="A23" s="92"/>
      <c r="B23" s="1"/>
      <c r="C23" s="89" t="s">
        <v>55</v>
      </c>
      <c r="D23" s="91">
        <f>('1.INTIMATES'!G27+'2.INSTITUTIONAL'!G30)/1000000</f>
        <v>-0.88788648276769222</v>
      </c>
      <c r="E23" s="1"/>
      <c r="F23" s="88"/>
    </row>
    <row r="24" spans="1:6" ht="13.5" thickTop="1">
      <c r="A24" s="92"/>
      <c r="B24" s="1"/>
      <c r="C24" s="93" t="s">
        <v>632</v>
      </c>
      <c r="D24" s="94">
        <f>D22-D23</f>
        <v>5.5128864827676924</v>
      </c>
      <c r="E24" s="1"/>
      <c r="F24" s="88"/>
    </row>
    <row r="25" spans="1:6">
      <c r="E25" s="27"/>
      <c r="F25" s="28"/>
    </row>
  </sheetData>
  <pageMargins left="0.7" right="0.7" top="0.78740157499999996" bottom="0.78740157499999996"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5"/>
  <sheetViews>
    <sheetView topLeftCell="A114" workbookViewId="0">
      <selection activeCell="E132" sqref="E132"/>
    </sheetView>
  </sheetViews>
  <sheetFormatPr baseColWidth="10" defaultColWidth="11.42578125" defaultRowHeight="15"/>
  <cols>
    <col min="3" max="9" width="12.42578125" customWidth="1"/>
  </cols>
  <sheetData>
    <row r="1" spans="1:9" ht="30">
      <c r="A1" s="51" t="s">
        <v>82</v>
      </c>
    </row>
    <row r="3" spans="1:9">
      <c r="A3" s="52" t="s">
        <v>83</v>
      </c>
    </row>
    <row r="5" spans="1:9">
      <c r="A5" t="s">
        <v>84</v>
      </c>
    </row>
    <row r="6" spans="1:9">
      <c r="A6" t="s">
        <v>85</v>
      </c>
    </row>
    <row r="7" spans="1:9">
      <c r="A7" t="s">
        <v>86</v>
      </c>
    </row>
    <row r="8" spans="1:9">
      <c r="A8" t="s">
        <v>87</v>
      </c>
    </row>
    <row r="10" spans="1:9" s="55" customFormat="1" ht="15.75">
      <c r="A10" s="53"/>
      <c r="B10" s="54"/>
      <c r="C10" s="313" t="s">
        <v>88</v>
      </c>
      <c r="D10" s="314"/>
      <c r="E10" s="314"/>
      <c r="F10" s="315"/>
      <c r="G10" s="313" t="s">
        <v>89</v>
      </c>
      <c r="H10" s="314"/>
      <c r="I10" s="315"/>
    </row>
    <row r="11" spans="1:9" s="55" customFormat="1" ht="63">
      <c r="A11" s="53" t="s">
        <v>90</v>
      </c>
      <c r="B11" s="54" t="s">
        <v>91</v>
      </c>
      <c r="C11" s="56" t="s">
        <v>92</v>
      </c>
      <c r="D11" s="54" t="s">
        <v>93</v>
      </c>
      <c r="E11" s="54" t="s">
        <v>94</v>
      </c>
      <c r="F11" s="56" t="s">
        <v>95</v>
      </c>
      <c r="G11" s="56" t="s">
        <v>96</v>
      </c>
      <c r="H11" s="56" t="s">
        <v>94</v>
      </c>
      <c r="I11" s="56" t="s">
        <v>95</v>
      </c>
    </row>
    <row r="12" spans="1:9" ht="15.75">
      <c r="A12" s="57" t="s">
        <v>97</v>
      </c>
      <c r="B12" s="58" t="s">
        <v>98</v>
      </c>
      <c r="C12" s="59" t="s">
        <v>99</v>
      </c>
      <c r="D12" s="60" t="s">
        <v>100</v>
      </c>
      <c r="E12" s="61" t="s">
        <v>101</v>
      </c>
      <c r="F12" s="60" t="s">
        <v>102</v>
      </c>
      <c r="G12" s="60" t="s">
        <v>103</v>
      </c>
      <c r="H12" s="60" t="s">
        <v>103</v>
      </c>
      <c r="I12" s="60" t="s">
        <v>103</v>
      </c>
    </row>
    <row r="13" spans="1:9" ht="15.75">
      <c r="A13" s="57" t="s">
        <v>104</v>
      </c>
      <c r="B13" s="58" t="s">
        <v>105</v>
      </c>
      <c r="C13" s="59" t="s">
        <v>106</v>
      </c>
      <c r="D13" s="60" t="s">
        <v>107</v>
      </c>
      <c r="E13" s="61" t="s">
        <v>108</v>
      </c>
      <c r="F13" s="60" t="s">
        <v>109</v>
      </c>
      <c r="G13" s="60" t="s">
        <v>103</v>
      </c>
      <c r="H13" s="60" t="s">
        <v>103</v>
      </c>
      <c r="I13" s="60" t="s">
        <v>103</v>
      </c>
    </row>
    <row r="14" spans="1:9" ht="15.75">
      <c r="A14" s="57" t="s">
        <v>110</v>
      </c>
      <c r="B14" s="58" t="s">
        <v>111</v>
      </c>
      <c r="C14" s="59" t="s">
        <v>112</v>
      </c>
      <c r="D14" s="60" t="s">
        <v>102</v>
      </c>
      <c r="E14" s="61" t="s">
        <v>113</v>
      </c>
      <c r="F14" s="60" t="s">
        <v>114</v>
      </c>
      <c r="G14" s="60" t="s">
        <v>115</v>
      </c>
      <c r="H14" s="60" t="s">
        <v>116</v>
      </c>
      <c r="I14" s="60" t="s">
        <v>117</v>
      </c>
    </row>
    <row r="15" spans="1:9" ht="15.75">
      <c r="A15" s="57" t="s">
        <v>118</v>
      </c>
      <c r="B15" s="58" t="s">
        <v>98</v>
      </c>
      <c r="C15" s="59" t="s">
        <v>119</v>
      </c>
      <c r="D15" s="60" t="s">
        <v>120</v>
      </c>
      <c r="E15" s="61" t="s">
        <v>121</v>
      </c>
      <c r="F15" s="60" t="s">
        <v>122</v>
      </c>
      <c r="G15" s="60" t="s">
        <v>103</v>
      </c>
      <c r="H15" s="60" t="s">
        <v>103</v>
      </c>
      <c r="I15" s="60" t="s">
        <v>103</v>
      </c>
    </row>
    <row r="16" spans="1:9" ht="15.75">
      <c r="A16" s="57" t="s">
        <v>123</v>
      </c>
      <c r="B16" s="58" t="s">
        <v>124</v>
      </c>
      <c r="C16" s="59" t="s">
        <v>125</v>
      </c>
      <c r="D16" s="60" t="s">
        <v>126</v>
      </c>
      <c r="E16" s="61" t="s">
        <v>127</v>
      </c>
      <c r="F16" s="60" t="s">
        <v>126</v>
      </c>
      <c r="G16" s="60" t="s">
        <v>128</v>
      </c>
      <c r="H16" s="60" t="s">
        <v>129</v>
      </c>
      <c r="I16" s="60" t="s">
        <v>130</v>
      </c>
    </row>
    <row r="17" spans="1:9" ht="15.75">
      <c r="A17" s="57" t="s">
        <v>131</v>
      </c>
      <c r="B17" s="58" t="s">
        <v>132</v>
      </c>
      <c r="C17" s="59" t="s">
        <v>125</v>
      </c>
      <c r="D17" s="60" t="s">
        <v>126</v>
      </c>
      <c r="E17" s="61" t="s">
        <v>127</v>
      </c>
      <c r="F17" s="60" t="s">
        <v>126</v>
      </c>
      <c r="G17" s="60" t="s">
        <v>133</v>
      </c>
      <c r="H17" s="60" t="s">
        <v>134</v>
      </c>
      <c r="I17" s="60" t="s">
        <v>135</v>
      </c>
    </row>
    <row r="18" spans="1:9" ht="15.75">
      <c r="A18" s="57" t="s">
        <v>136</v>
      </c>
      <c r="B18" s="58" t="s">
        <v>98</v>
      </c>
      <c r="C18" s="59" t="s">
        <v>137</v>
      </c>
      <c r="D18" s="60" t="s">
        <v>138</v>
      </c>
      <c r="E18" s="61" t="s">
        <v>139</v>
      </c>
      <c r="F18" s="60" t="s">
        <v>140</v>
      </c>
      <c r="G18" s="60" t="s">
        <v>103</v>
      </c>
      <c r="H18" s="60" t="s">
        <v>103</v>
      </c>
      <c r="I18" s="60" t="s">
        <v>103</v>
      </c>
    </row>
    <row r="19" spans="1:9" ht="15.75">
      <c r="A19" s="57" t="s">
        <v>141</v>
      </c>
      <c r="B19" s="58" t="s">
        <v>142</v>
      </c>
      <c r="C19" s="59" t="s">
        <v>143</v>
      </c>
      <c r="D19" s="60" t="s">
        <v>144</v>
      </c>
      <c r="E19" s="61" t="s">
        <v>145</v>
      </c>
      <c r="F19" s="60" t="s">
        <v>146</v>
      </c>
      <c r="G19" s="60" t="s">
        <v>103</v>
      </c>
      <c r="H19" s="60" t="s">
        <v>103</v>
      </c>
      <c r="I19" s="60" t="s">
        <v>103</v>
      </c>
    </row>
    <row r="20" spans="1:9" ht="15.75">
      <c r="A20" s="57" t="s">
        <v>147</v>
      </c>
      <c r="B20" s="58" t="s">
        <v>148</v>
      </c>
      <c r="C20" s="59" t="s">
        <v>143</v>
      </c>
      <c r="D20" s="60" t="s">
        <v>144</v>
      </c>
      <c r="E20" s="61" t="s">
        <v>145</v>
      </c>
      <c r="F20" s="60" t="s">
        <v>146</v>
      </c>
      <c r="G20" s="60" t="s">
        <v>149</v>
      </c>
      <c r="H20" s="60" t="s">
        <v>150</v>
      </c>
      <c r="I20" s="60" t="s">
        <v>151</v>
      </c>
    </row>
    <row r="21" spans="1:9" ht="15.75">
      <c r="A21" s="57" t="s">
        <v>152</v>
      </c>
      <c r="B21" s="58" t="s">
        <v>153</v>
      </c>
      <c r="C21" s="59" t="s">
        <v>106</v>
      </c>
      <c r="D21" s="60" t="s">
        <v>107</v>
      </c>
      <c r="E21" s="61" t="s">
        <v>108</v>
      </c>
      <c r="F21" s="60" t="s">
        <v>109</v>
      </c>
      <c r="G21" s="60" t="s">
        <v>103</v>
      </c>
      <c r="H21" s="60" t="s">
        <v>103</v>
      </c>
      <c r="I21" s="60" t="s">
        <v>103</v>
      </c>
    </row>
    <row r="22" spans="1:9" ht="15.75">
      <c r="A22" s="57" t="s">
        <v>154</v>
      </c>
      <c r="B22" s="58" t="s">
        <v>142</v>
      </c>
      <c r="C22" s="59" t="s">
        <v>137</v>
      </c>
      <c r="D22" s="60" t="s">
        <v>138</v>
      </c>
      <c r="E22" s="61" t="s">
        <v>139</v>
      </c>
      <c r="F22" s="60" t="s">
        <v>140</v>
      </c>
      <c r="G22" s="60" t="s">
        <v>103</v>
      </c>
      <c r="H22" s="60" t="s">
        <v>103</v>
      </c>
      <c r="I22" s="60" t="s">
        <v>103</v>
      </c>
    </row>
    <row r="23" spans="1:9" ht="15.75">
      <c r="A23" s="57" t="s">
        <v>155</v>
      </c>
      <c r="B23" s="58" t="s">
        <v>98</v>
      </c>
      <c r="C23" s="59" t="s">
        <v>112</v>
      </c>
      <c r="D23" s="60" t="s">
        <v>102</v>
      </c>
      <c r="E23" s="61" t="s">
        <v>113</v>
      </c>
      <c r="F23" s="60" t="s">
        <v>114</v>
      </c>
      <c r="G23" s="60" t="s">
        <v>103</v>
      </c>
      <c r="H23" s="60" t="s">
        <v>103</v>
      </c>
      <c r="I23" s="60" t="s">
        <v>103</v>
      </c>
    </row>
    <row r="24" spans="1:9" ht="15.75">
      <c r="A24" s="57" t="s">
        <v>156</v>
      </c>
      <c r="B24" s="58" t="s">
        <v>132</v>
      </c>
      <c r="C24" s="59" t="s">
        <v>157</v>
      </c>
      <c r="D24" s="60" t="s">
        <v>158</v>
      </c>
      <c r="E24" s="61" t="s">
        <v>159</v>
      </c>
      <c r="F24" s="60" t="s">
        <v>160</v>
      </c>
      <c r="G24" s="60" t="s">
        <v>161</v>
      </c>
      <c r="H24" s="60" t="s">
        <v>162</v>
      </c>
      <c r="I24" s="60" t="s">
        <v>128</v>
      </c>
    </row>
    <row r="25" spans="1:9" ht="15.75">
      <c r="A25" s="57" t="s">
        <v>163</v>
      </c>
      <c r="B25" s="58" t="s">
        <v>111</v>
      </c>
      <c r="C25" s="59" t="s">
        <v>164</v>
      </c>
      <c r="D25" s="60" t="s">
        <v>165</v>
      </c>
      <c r="E25" s="61" t="s">
        <v>166</v>
      </c>
      <c r="F25" s="60" t="s">
        <v>167</v>
      </c>
      <c r="G25" s="60" t="s">
        <v>103</v>
      </c>
      <c r="H25" s="60" t="s">
        <v>103</v>
      </c>
      <c r="I25" s="60" t="s">
        <v>103</v>
      </c>
    </row>
    <row r="26" spans="1:9" ht="15.75">
      <c r="A26" s="57" t="s">
        <v>168</v>
      </c>
      <c r="B26" s="58" t="s">
        <v>142</v>
      </c>
      <c r="C26" s="59" t="s">
        <v>169</v>
      </c>
      <c r="D26" s="60" t="s">
        <v>170</v>
      </c>
      <c r="E26" s="61" t="s">
        <v>171</v>
      </c>
      <c r="F26" s="60" t="s">
        <v>172</v>
      </c>
      <c r="G26" s="60" t="s">
        <v>103</v>
      </c>
      <c r="H26" s="60" t="s">
        <v>103</v>
      </c>
      <c r="I26" s="60" t="s">
        <v>103</v>
      </c>
    </row>
    <row r="27" spans="1:9" ht="15.75">
      <c r="A27" s="57" t="s">
        <v>173</v>
      </c>
      <c r="B27" s="58" t="s">
        <v>111</v>
      </c>
      <c r="C27" s="59" t="s">
        <v>106</v>
      </c>
      <c r="D27" s="60" t="s">
        <v>107</v>
      </c>
      <c r="E27" s="61" t="s">
        <v>108</v>
      </c>
      <c r="F27" s="60" t="s">
        <v>109</v>
      </c>
      <c r="G27" s="60" t="s">
        <v>103</v>
      </c>
      <c r="H27" s="60" t="s">
        <v>103</v>
      </c>
      <c r="I27" s="60" t="s">
        <v>103</v>
      </c>
    </row>
    <row r="28" spans="1:9" ht="15.75">
      <c r="A28" s="57" t="s">
        <v>174</v>
      </c>
      <c r="B28" s="58" t="s">
        <v>98</v>
      </c>
      <c r="C28" s="59" t="s">
        <v>112</v>
      </c>
      <c r="D28" s="60" t="s">
        <v>102</v>
      </c>
      <c r="E28" s="61" t="s">
        <v>113</v>
      </c>
      <c r="F28" s="60" t="s">
        <v>114</v>
      </c>
      <c r="G28" s="60" t="s">
        <v>103</v>
      </c>
      <c r="H28" s="60" t="s">
        <v>103</v>
      </c>
      <c r="I28" s="60" t="s">
        <v>103</v>
      </c>
    </row>
    <row r="29" spans="1:9" ht="15.75">
      <c r="A29" s="57" t="s">
        <v>175</v>
      </c>
      <c r="B29" s="58" t="s">
        <v>105</v>
      </c>
      <c r="C29" s="59" t="s">
        <v>176</v>
      </c>
      <c r="D29" s="60" t="s">
        <v>177</v>
      </c>
      <c r="E29" s="61" t="s">
        <v>178</v>
      </c>
      <c r="F29" s="60" t="s">
        <v>144</v>
      </c>
      <c r="G29" s="60" t="s">
        <v>103</v>
      </c>
      <c r="H29" s="60" t="s">
        <v>103</v>
      </c>
      <c r="I29" s="60" t="s">
        <v>103</v>
      </c>
    </row>
    <row r="30" spans="1:9" ht="15.75">
      <c r="A30" s="57" t="s">
        <v>179</v>
      </c>
      <c r="B30" s="58" t="s">
        <v>111</v>
      </c>
      <c r="C30" s="59" t="s">
        <v>180</v>
      </c>
      <c r="D30" s="60" t="s">
        <v>181</v>
      </c>
      <c r="E30" s="61" t="s">
        <v>182</v>
      </c>
      <c r="F30" s="60" t="s">
        <v>183</v>
      </c>
      <c r="G30" s="60" t="s">
        <v>184</v>
      </c>
      <c r="H30" s="60" t="s">
        <v>185</v>
      </c>
      <c r="I30" s="60" t="s">
        <v>186</v>
      </c>
    </row>
    <row r="31" spans="1:9" ht="15.75">
      <c r="A31" s="57" t="s">
        <v>187</v>
      </c>
      <c r="B31" s="58" t="s">
        <v>98</v>
      </c>
      <c r="C31" s="59" t="s">
        <v>180</v>
      </c>
      <c r="D31" s="60" t="s">
        <v>181</v>
      </c>
      <c r="E31" s="61" t="s">
        <v>182</v>
      </c>
      <c r="F31" s="60" t="s">
        <v>183</v>
      </c>
      <c r="G31" s="60" t="s">
        <v>188</v>
      </c>
      <c r="H31" s="60" t="s">
        <v>189</v>
      </c>
      <c r="I31" s="60" t="s">
        <v>190</v>
      </c>
    </row>
    <row r="32" spans="1:9" ht="15.75">
      <c r="A32" s="57" t="s">
        <v>191</v>
      </c>
      <c r="B32" s="58" t="s">
        <v>153</v>
      </c>
      <c r="C32" s="59" t="s">
        <v>192</v>
      </c>
      <c r="D32" s="60" t="s">
        <v>193</v>
      </c>
      <c r="E32" s="61" t="s">
        <v>194</v>
      </c>
      <c r="F32" s="60" t="s">
        <v>195</v>
      </c>
      <c r="G32" s="60" t="s">
        <v>103</v>
      </c>
      <c r="H32" s="60" t="s">
        <v>103</v>
      </c>
      <c r="I32" s="60" t="s">
        <v>103</v>
      </c>
    </row>
    <row r="33" spans="1:9" ht="15.75">
      <c r="A33" s="57" t="s">
        <v>196</v>
      </c>
      <c r="B33" s="58" t="s">
        <v>197</v>
      </c>
      <c r="C33" s="59" t="s">
        <v>125</v>
      </c>
      <c r="D33" s="60" t="s">
        <v>126</v>
      </c>
      <c r="E33" s="61" t="s">
        <v>127</v>
      </c>
      <c r="F33" s="60" t="s">
        <v>126</v>
      </c>
      <c r="G33" s="60" t="s">
        <v>103</v>
      </c>
      <c r="H33" s="60" t="s">
        <v>103</v>
      </c>
      <c r="I33" s="60" t="s">
        <v>103</v>
      </c>
    </row>
    <row r="34" spans="1:9" ht="15.75">
      <c r="A34" s="57" t="s">
        <v>198</v>
      </c>
      <c r="B34" s="58" t="s">
        <v>142</v>
      </c>
      <c r="C34" s="59" t="s">
        <v>157</v>
      </c>
      <c r="D34" s="60" t="s">
        <v>158</v>
      </c>
      <c r="E34" s="61" t="s">
        <v>159</v>
      </c>
      <c r="F34" s="60" t="s">
        <v>160</v>
      </c>
      <c r="G34" s="60" t="s">
        <v>103</v>
      </c>
      <c r="H34" s="60" t="s">
        <v>103</v>
      </c>
      <c r="I34" s="60" t="s">
        <v>103</v>
      </c>
    </row>
    <row r="35" spans="1:9" ht="15.75">
      <c r="A35" s="57" t="s">
        <v>199</v>
      </c>
      <c r="B35" s="58" t="s">
        <v>111</v>
      </c>
      <c r="C35" s="59" t="s">
        <v>157</v>
      </c>
      <c r="D35" s="60" t="s">
        <v>158</v>
      </c>
      <c r="E35" s="61" t="s">
        <v>159</v>
      </c>
      <c r="F35" s="60" t="s">
        <v>160</v>
      </c>
      <c r="G35" s="60" t="s">
        <v>200</v>
      </c>
      <c r="H35" s="60" t="s">
        <v>201</v>
      </c>
      <c r="I35" s="60" t="s">
        <v>202</v>
      </c>
    </row>
    <row r="36" spans="1:9" ht="15.75">
      <c r="A36" s="57" t="s">
        <v>203</v>
      </c>
      <c r="B36" s="58" t="s">
        <v>153</v>
      </c>
      <c r="C36" s="59" t="s">
        <v>157</v>
      </c>
      <c r="D36" s="60" t="s">
        <v>158</v>
      </c>
      <c r="E36" s="61" t="s">
        <v>159</v>
      </c>
      <c r="F36" s="60" t="s">
        <v>160</v>
      </c>
      <c r="G36" s="60" t="s">
        <v>204</v>
      </c>
      <c r="H36" s="60" t="s">
        <v>205</v>
      </c>
      <c r="I36" s="60" t="s">
        <v>206</v>
      </c>
    </row>
    <row r="37" spans="1:9" ht="15.75">
      <c r="A37" s="57" t="s">
        <v>207</v>
      </c>
      <c r="B37" s="58" t="s">
        <v>111</v>
      </c>
      <c r="C37" s="59" t="s">
        <v>137</v>
      </c>
      <c r="D37" s="60" t="s">
        <v>138</v>
      </c>
      <c r="E37" s="61" t="s">
        <v>139</v>
      </c>
      <c r="F37" s="60" t="s">
        <v>140</v>
      </c>
      <c r="G37" s="60" t="s">
        <v>208</v>
      </c>
      <c r="H37" s="60" t="s">
        <v>209</v>
      </c>
      <c r="I37" s="60" t="s">
        <v>204</v>
      </c>
    </row>
    <row r="38" spans="1:9" ht="15.75">
      <c r="A38" s="57" t="s">
        <v>210</v>
      </c>
      <c r="B38" s="58" t="s">
        <v>111</v>
      </c>
      <c r="C38" s="59" t="s">
        <v>137</v>
      </c>
      <c r="D38" s="60" t="s">
        <v>138</v>
      </c>
      <c r="E38" s="61" t="s">
        <v>139</v>
      </c>
      <c r="F38" s="60" t="s">
        <v>140</v>
      </c>
      <c r="G38" s="60" t="s">
        <v>211</v>
      </c>
      <c r="H38" s="60" t="s">
        <v>212</v>
      </c>
      <c r="I38" s="60" t="s">
        <v>213</v>
      </c>
    </row>
    <row r="39" spans="1:9" ht="15.75">
      <c r="A39" s="57" t="s">
        <v>214</v>
      </c>
      <c r="B39" s="58" t="s">
        <v>98</v>
      </c>
      <c r="C39" s="59" t="s">
        <v>137</v>
      </c>
      <c r="D39" s="60" t="s">
        <v>138</v>
      </c>
      <c r="E39" s="61" t="s">
        <v>139</v>
      </c>
      <c r="F39" s="60" t="s">
        <v>140</v>
      </c>
      <c r="G39" s="60" t="s">
        <v>215</v>
      </c>
      <c r="H39" s="60" t="s">
        <v>216</v>
      </c>
      <c r="I39" s="60" t="s">
        <v>217</v>
      </c>
    </row>
    <row r="40" spans="1:9" ht="15.75">
      <c r="A40" s="57" t="s">
        <v>218</v>
      </c>
      <c r="B40" s="58" t="s">
        <v>142</v>
      </c>
      <c r="C40" s="59" t="s">
        <v>219</v>
      </c>
      <c r="D40" s="60" t="s">
        <v>220</v>
      </c>
      <c r="E40" s="61" t="s">
        <v>221</v>
      </c>
      <c r="F40" s="60" t="s">
        <v>222</v>
      </c>
      <c r="G40" s="60" t="s">
        <v>103</v>
      </c>
      <c r="H40" s="60" t="s">
        <v>103</v>
      </c>
      <c r="I40" s="60" t="s">
        <v>103</v>
      </c>
    </row>
    <row r="41" spans="1:9" ht="15.75">
      <c r="A41" s="57" t="s">
        <v>223</v>
      </c>
      <c r="B41" s="58" t="s">
        <v>132</v>
      </c>
      <c r="C41" s="59" t="s">
        <v>112</v>
      </c>
      <c r="D41" s="60" t="s">
        <v>102</v>
      </c>
      <c r="E41" s="61" t="s">
        <v>113</v>
      </c>
      <c r="F41" s="60" t="s">
        <v>114</v>
      </c>
      <c r="G41" s="60" t="s">
        <v>171</v>
      </c>
      <c r="H41" s="60" t="s">
        <v>224</v>
      </c>
      <c r="I41" s="60" t="s">
        <v>225</v>
      </c>
    </row>
    <row r="42" spans="1:9" ht="15.75">
      <c r="A42" s="57" t="s">
        <v>226</v>
      </c>
      <c r="B42" s="58" t="s">
        <v>98</v>
      </c>
      <c r="C42" s="59" t="s">
        <v>227</v>
      </c>
      <c r="D42" s="60" t="s">
        <v>228</v>
      </c>
      <c r="E42" s="61" t="s">
        <v>229</v>
      </c>
      <c r="F42" s="60" t="s">
        <v>230</v>
      </c>
      <c r="G42" s="60" t="s">
        <v>231</v>
      </c>
      <c r="H42" s="60" t="s">
        <v>232</v>
      </c>
      <c r="I42" s="60" t="s">
        <v>233</v>
      </c>
    </row>
    <row r="43" spans="1:9" ht="15.75">
      <c r="A43" s="57" t="s">
        <v>234</v>
      </c>
      <c r="B43" s="58" t="s">
        <v>132</v>
      </c>
      <c r="C43" s="59" t="s">
        <v>125</v>
      </c>
      <c r="D43" s="60" t="s">
        <v>126</v>
      </c>
      <c r="E43" s="61" t="s">
        <v>127</v>
      </c>
      <c r="F43" s="60" t="s">
        <v>126</v>
      </c>
      <c r="G43" s="60" t="s">
        <v>235</v>
      </c>
      <c r="H43" s="60" t="s">
        <v>236</v>
      </c>
      <c r="I43" s="60" t="s">
        <v>237</v>
      </c>
    </row>
    <row r="44" spans="1:9" ht="15.75">
      <c r="A44" s="57" t="s">
        <v>238</v>
      </c>
      <c r="B44" s="58" t="s">
        <v>142</v>
      </c>
      <c r="C44" s="59" t="s">
        <v>99</v>
      </c>
      <c r="D44" s="60" t="s">
        <v>100</v>
      </c>
      <c r="E44" s="61" t="s">
        <v>101</v>
      </c>
      <c r="F44" s="60" t="s">
        <v>102</v>
      </c>
      <c r="G44" s="60" t="s">
        <v>103</v>
      </c>
      <c r="H44" s="60" t="s">
        <v>103</v>
      </c>
      <c r="I44" s="60" t="s">
        <v>103</v>
      </c>
    </row>
    <row r="45" spans="1:9" ht="15.75">
      <c r="A45" s="57" t="s">
        <v>239</v>
      </c>
      <c r="B45" s="58" t="s">
        <v>111</v>
      </c>
      <c r="C45" s="59" t="s">
        <v>219</v>
      </c>
      <c r="D45" s="60" t="s">
        <v>220</v>
      </c>
      <c r="E45" s="61" t="s">
        <v>221</v>
      </c>
      <c r="F45" s="60" t="s">
        <v>222</v>
      </c>
      <c r="G45" s="60" t="s">
        <v>103</v>
      </c>
      <c r="H45" s="60" t="s">
        <v>103</v>
      </c>
      <c r="I45" s="60" t="s">
        <v>103</v>
      </c>
    </row>
    <row r="46" spans="1:9" ht="15.75">
      <c r="A46" s="57" t="s">
        <v>240</v>
      </c>
      <c r="B46" s="58" t="s">
        <v>105</v>
      </c>
      <c r="C46" s="59" t="s">
        <v>192</v>
      </c>
      <c r="D46" s="60" t="s">
        <v>193</v>
      </c>
      <c r="E46" s="61" t="s">
        <v>194</v>
      </c>
      <c r="F46" s="60" t="s">
        <v>195</v>
      </c>
      <c r="G46" s="60" t="s">
        <v>241</v>
      </c>
      <c r="H46" s="60" t="s">
        <v>242</v>
      </c>
      <c r="I46" s="60" t="s">
        <v>243</v>
      </c>
    </row>
    <row r="47" spans="1:9" ht="15.75">
      <c r="A47" s="57" t="s">
        <v>244</v>
      </c>
      <c r="B47" s="58" t="s">
        <v>111</v>
      </c>
      <c r="C47" s="59" t="s">
        <v>106</v>
      </c>
      <c r="D47" s="60" t="s">
        <v>107</v>
      </c>
      <c r="E47" s="61" t="s">
        <v>108</v>
      </c>
      <c r="F47" s="60" t="s">
        <v>109</v>
      </c>
      <c r="G47" s="60" t="s">
        <v>103</v>
      </c>
      <c r="H47" s="60" t="s">
        <v>103</v>
      </c>
      <c r="I47" s="60" t="s">
        <v>103</v>
      </c>
    </row>
    <row r="48" spans="1:9" ht="15.75">
      <c r="A48" s="57" t="s">
        <v>245</v>
      </c>
      <c r="B48" s="58" t="s">
        <v>98</v>
      </c>
      <c r="C48" s="59" t="s">
        <v>227</v>
      </c>
      <c r="D48" s="60" t="s">
        <v>228</v>
      </c>
      <c r="E48" s="61" t="s">
        <v>229</v>
      </c>
      <c r="F48" s="60" t="s">
        <v>230</v>
      </c>
      <c r="G48" s="60" t="s">
        <v>246</v>
      </c>
      <c r="H48" s="60" t="s">
        <v>247</v>
      </c>
      <c r="I48" s="60" t="s">
        <v>248</v>
      </c>
    </row>
    <row r="49" spans="1:9" ht="15.75">
      <c r="A49" s="57" t="s">
        <v>249</v>
      </c>
      <c r="B49" s="58" t="s">
        <v>153</v>
      </c>
      <c r="C49" s="59" t="s">
        <v>99</v>
      </c>
      <c r="D49" s="60" t="s">
        <v>100</v>
      </c>
      <c r="E49" s="61" t="s">
        <v>101</v>
      </c>
      <c r="F49" s="60" t="s">
        <v>102</v>
      </c>
      <c r="G49" s="60" t="s">
        <v>103</v>
      </c>
      <c r="H49" s="60" t="s">
        <v>103</v>
      </c>
      <c r="I49" s="60" t="s">
        <v>103</v>
      </c>
    </row>
    <row r="50" spans="1:9" ht="15.75">
      <c r="A50" s="57" t="s">
        <v>250</v>
      </c>
      <c r="B50" s="58" t="s">
        <v>132</v>
      </c>
      <c r="C50" s="59" t="s">
        <v>125</v>
      </c>
      <c r="D50" s="60" t="s">
        <v>126</v>
      </c>
      <c r="E50" s="61" t="s">
        <v>127</v>
      </c>
      <c r="F50" s="60" t="s">
        <v>126</v>
      </c>
      <c r="G50" s="60" t="s">
        <v>251</v>
      </c>
      <c r="H50" s="60" t="s">
        <v>252</v>
      </c>
      <c r="I50" s="60" t="s">
        <v>253</v>
      </c>
    </row>
    <row r="51" spans="1:9" ht="15.75">
      <c r="A51" s="57" t="s">
        <v>254</v>
      </c>
      <c r="B51" s="58" t="s">
        <v>132</v>
      </c>
      <c r="C51" s="59" t="s">
        <v>255</v>
      </c>
      <c r="D51" s="60" t="s">
        <v>256</v>
      </c>
      <c r="E51" s="61" t="s">
        <v>257</v>
      </c>
      <c r="F51" s="60" t="s">
        <v>258</v>
      </c>
      <c r="G51" s="60" t="s">
        <v>184</v>
      </c>
      <c r="H51" s="60" t="s">
        <v>185</v>
      </c>
      <c r="I51" s="60" t="s">
        <v>186</v>
      </c>
    </row>
    <row r="52" spans="1:9" ht="15.75">
      <c r="A52" s="57" t="s">
        <v>259</v>
      </c>
      <c r="B52" s="58" t="s">
        <v>98</v>
      </c>
      <c r="C52" s="59" t="s">
        <v>106</v>
      </c>
      <c r="D52" s="60" t="s">
        <v>107</v>
      </c>
      <c r="E52" s="61" t="s">
        <v>108</v>
      </c>
      <c r="F52" s="60" t="s">
        <v>109</v>
      </c>
      <c r="G52" s="60" t="s">
        <v>103</v>
      </c>
      <c r="H52" s="60" t="s">
        <v>103</v>
      </c>
      <c r="I52" s="60" t="s">
        <v>103</v>
      </c>
    </row>
    <row r="53" spans="1:9" ht="15.75">
      <c r="A53" s="57" t="s">
        <v>260</v>
      </c>
      <c r="B53" s="58" t="s">
        <v>132</v>
      </c>
      <c r="C53" s="59" t="s">
        <v>125</v>
      </c>
      <c r="D53" s="60" t="s">
        <v>126</v>
      </c>
      <c r="E53" s="61" t="s">
        <v>127</v>
      </c>
      <c r="F53" s="60" t="s">
        <v>126</v>
      </c>
      <c r="G53" s="60" t="s">
        <v>261</v>
      </c>
      <c r="H53" s="60" t="s">
        <v>262</v>
      </c>
      <c r="I53" s="60" t="s">
        <v>263</v>
      </c>
    </row>
    <row r="54" spans="1:9" ht="15.75">
      <c r="A54" s="57" t="s">
        <v>264</v>
      </c>
      <c r="B54" s="58" t="s">
        <v>132</v>
      </c>
      <c r="C54" s="59" t="s">
        <v>219</v>
      </c>
      <c r="D54" s="60" t="s">
        <v>220</v>
      </c>
      <c r="E54" s="61" t="s">
        <v>221</v>
      </c>
      <c r="F54" s="60" t="s">
        <v>222</v>
      </c>
      <c r="G54" s="60" t="s">
        <v>103</v>
      </c>
      <c r="H54" s="60" t="s">
        <v>103</v>
      </c>
      <c r="I54" s="60" t="s">
        <v>103</v>
      </c>
    </row>
    <row r="55" spans="1:9" ht="15.75">
      <c r="A55" s="57" t="s">
        <v>265</v>
      </c>
      <c r="B55" s="58" t="s">
        <v>111</v>
      </c>
      <c r="C55" s="59" t="s">
        <v>266</v>
      </c>
      <c r="D55" s="60" t="s">
        <v>267</v>
      </c>
      <c r="E55" s="61" t="s">
        <v>268</v>
      </c>
      <c r="F55" s="60" t="s">
        <v>269</v>
      </c>
      <c r="G55" s="60" t="s">
        <v>103</v>
      </c>
      <c r="H55" s="60" t="s">
        <v>103</v>
      </c>
      <c r="I55" s="60" t="s">
        <v>103</v>
      </c>
    </row>
    <row r="56" spans="1:9" ht="15.75">
      <c r="A56" s="57" t="s">
        <v>270</v>
      </c>
      <c r="B56" s="58" t="s">
        <v>111</v>
      </c>
      <c r="C56" s="59" t="s">
        <v>192</v>
      </c>
      <c r="D56" s="60" t="s">
        <v>193</v>
      </c>
      <c r="E56" s="61" t="s">
        <v>194</v>
      </c>
      <c r="F56" s="60" t="s">
        <v>195</v>
      </c>
      <c r="G56" s="60" t="s">
        <v>103</v>
      </c>
      <c r="H56" s="60" t="s">
        <v>103</v>
      </c>
      <c r="I56" s="60" t="s">
        <v>103</v>
      </c>
    </row>
    <row r="57" spans="1:9" ht="15.75">
      <c r="A57" s="57" t="s">
        <v>271</v>
      </c>
      <c r="B57" s="58" t="s">
        <v>153</v>
      </c>
      <c r="C57" s="59" t="s">
        <v>255</v>
      </c>
      <c r="D57" s="60" t="s">
        <v>256</v>
      </c>
      <c r="E57" s="61" t="s">
        <v>257</v>
      </c>
      <c r="F57" s="60" t="s">
        <v>258</v>
      </c>
      <c r="G57" s="60" t="s">
        <v>272</v>
      </c>
      <c r="H57" s="60" t="s">
        <v>273</v>
      </c>
      <c r="I57" s="60" t="s">
        <v>274</v>
      </c>
    </row>
    <row r="58" spans="1:9" ht="15.75">
      <c r="A58" s="57" t="s">
        <v>275</v>
      </c>
      <c r="B58" s="58" t="s">
        <v>98</v>
      </c>
      <c r="C58" s="59" t="s">
        <v>266</v>
      </c>
      <c r="D58" s="60" t="s">
        <v>267</v>
      </c>
      <c r="E58" s="61" t="s">
        <v>268</v>
      </c>
      <c r="F58" s="60" t="s">
        <v>269</v>
      </c>
      <c r="G58" s="60" t="s">
        <v>276</v>
      </c>
      <c r="H58" s="60" t="s">
        <v>277</v>
      </c>
      <c r="I58" s="60" t="s">
        <v>278</v>
      </c>
    </row>
    <row r="59" spans="1:9" ht="15.75">
      <c r="A59" s="57" t="s">
        <v>279</v>
      </c>
      <c r="B59" s="58" t="s">
        <v>132</v>
      </c>
      <c r="C59" s="59" t="s">
        <v>137</v>
      </c>
      <c r="D59" s="60" t="s">
        <v>138</v>
      </c>
      <c r="E59" s="61" t="s">
        <v>139</v>
      </c>
      <c r="F59" s="60" t="s">
        <v>140</v>
      </c>
      <c r="G59" s="60" t="s">
        <v>280</v>
      </c>
      <c r="H59" s="60" t="s">
        <v>281</v>
      </c>
      <c r="I59" s="60" t="s">
        <v>282</v>
      </c>
    </row>
    <row r="60" spans="1:9" ht="15.75">
      <c r="A60" s="57" t="s">
        <v>283</v>
      </c>
      <c r="B60" s="58" t="s">
        <v>153</v>
      </c>
      <c r="C60" s="59" t="s">
        <v>137</v>
      </c>
      <c r="D60" s="60" t="s">
        <v>138</v>
      </c>
      <c r="E60" s="61" t="s">
        <v>139</v>
      </c>
      <c r="F60" s="60" t="s">
        <v>140</v>
      </c>
      <c r="G60" s="60" t="s">
        <v>103</v>
      </c>
      <c r="H60" s="60" t="s">
        <v>103</v>
      </c>
      <c r="I60" s="60" t="s">
        <v>103</v>
      </c>
    </row>
    <row r="61" spans="1:9" ht="15.75">
      <c r="A61" s="57" t="s">
        <v>284</v>
      </c>
      <c r="B61" s="58" t="s">
        <v>153</v>
      </c>
      <c r="C61" s="59" t="s">
        <v>137</v>
      </c>
      <c r="D61" s="60" t="s">
        <v>138</v>
      </c>
      <c r="E61" s="61" t="s">
        <v>139</v>
      </c>
      <c r="F61" s="60" t="s">
        <v>140</v>
      </c>
      <c r="G61" s="60" t="s">
        <v>285</v>
      </c>
      <c r="H61" s="60" t="s">
        <v>286</v>
      </c>
      <c r="I61" s="60" t="s">
        <v>287</v>
      </c>
    </row>
    <row r="62" spans="1:9" ht="15.75">
      <c r="A62" s="57" t="s">
        <v>288</v>
      </c>
      <c r="B62" s="58" t="s">
        <v>132</v>
      </c>
      <c r="C62" s="59" t="s">
        <v>266</v>
      </c>
      <c r="D62" s="60" t="s">
        <v>267</v>
      </c>
      <c r="E62" s="61" t="s">
        <v>268</v>
      </c>
      <c r="F62" s="60" t="s">
        <v>269</v>
      </c>
      <c r="G62" s="60" t="s">
        <v>289</v>
      </c>
      <c r="H62" s="60" t="s">
        <v>290</v>
      </c>
      <c r="I62" s="60" t="s">
        <v>291</v>
      </c>
    </row>
    <row r="63" spans="1:9" ht="15.75">
      <c r="A63" s="57" t="s">
        <v>292</v>
      </c>
      <c r="B63" s="58" t="s">
        <v>293</v>
      </c>
      <c r="C63" s="59" t="s">
        <v>125</v>
      </c>
      <c r="D63" s="60" t="s">
        <v>126</v>
      </c>
      <c r="E63" s="61" t="s">
        <v>127</v>
      </c>
      <c r="F63" s="60" t="s">
        <v>126</v>
      </c>
      <c r="G63" s="60" t="s">
        <v>103</v>
      </c>
      <c r="H63" s="60" t="s">
        <v>103</v>
      </c>
      <c r="I63" s="60" t="s">
        <v>103</v>
      </c>
    </row>
    <row r="64" spans="1:9" ht="15.75">
      <c r="A64" s="57" t="s">
        <v>294</v>
      </c>
      <c r="B64" s="58" t="s">
        <v>148</v>
      </c>
      <c r="C64" s="59" t="s">
        <v>227</v>
      </c>
      <c r="D64" s="60" t="s">
        <v>228</v>
      </c>
      <c r="E64" s="61" t="s">
        <v>229</v>
      </c>
      <c r="F64" s="60" t="s">
        <v>230</v>
      </c>
      <c r="G64" s="60" t="s">
        <v>295</v>
      </c>
      <c r="H64" s="60" t="s">
        <v>296</v>
      </c>
      <c r="I64" s="60" t="s">
        <v>188</v>
      </c>
    </row>
    <row r="65" spans="1:9" ht="15.75">
      <c r="A65" s="57" t="s">
        <v>20</v>
      </c>
      <c r="B65" s="58" t="s">
        <v>132</v>
      </c>
      <c r="C65" s="59" t="s">
        <v>180</v>
      </c>
      <c r="D65" s="60" t="s">
        <v>181</v>
      </c>
      <c r="E65" s="61" t="s">
        <v>182</v>
      </c>
      <c r="F65" s="60" t="s">
        <v>183</v>
      </c>
      <c r="G65" s="60" t="s">
        <v>297</v>
      </c>
      <c r="H65" s="60" t="s">
        <v>298</v>
      </c>
      <c r="I65" s="60" t="s">
        <v>299</v>
      </c>
    </row>
    <row r="66" spans="1:9" ht="15.75">
      <c r="A66" s="57" t="s">
        <v>300</v>
      </c>
      <c r="B66" s="58" t="s">
        <v>142</v>
      </c>
      <c r="C66" s="59" t="s">
        <v>112</v>
      </c>
      <c r="D66" s="60" t="s">
        <v>102</v>
      </c>
      <c r="E66" s="61" t="s">
        <v>113</v>
      </c>
      <c r="F66" s="60" t="s">
        <v>114</v>
      </c>
      <c r="G66" s="60" t="s">
        <v>103</v>
      </c>
      <c r="H66" s="60" t="s">
        <v>103</v>
      </c>
      <c r="I66" s="60" t="s">
        <v>103</v>
      </c>
    </row>
    <row r="67" spans="1:9" ht="15.75">
      <c r="A67" s="57" t="s">
        <v>301</v>
      </c>
      <c r="B67" s="58" t="s">
        <v>153</v>
      </c>
      <c r="C67" s="59" t="s">
        <v>157</v>
      </c>
      <c r="D67" s="60" t="s">
        <v>158</v>
      </c>
      <c r="E67" s="61" t="s">
        <v>159</v>
      </c>
      <c r="F67" s="60" t="s">
        <v>160</v>
      </c>
      <c r="G67" s="60" t="s">
        <v>302</v>
      </c>
      <c r="H67" s="60" t="s">
        <v>303</v>
      </c>
      <c r="I67" s="60" t="s">
        <v>304</v>
      </c>
    </row>
    <row r="68" spans="1:9" ht="15.75">
      <c r="A68" s="57" t="s">
        <v>305</v>
      </c>
      <c r="B68" s="58" t="s">
        <v>148</v>
      </c>
      <c r="C68" s="59" t="s">
        <v>119</v>
      </c>
      <c r="D68" s="60" t="s">
        <v>120</v>
      </c>
      <c r="E68" s="61" t="s">
        <v>121</v>
      </c>
      <c r="F68" s="60" t="s">
        <v>122</v>
      </c>
      <c r="G68" s="60" t="s">
        <v>103</v>
      </c>
      <c r="H68" s="60" t="s">
        <v>103</v>
      </c>
      <c r="I68" s="60" t="s">
        <v>103</v>
      </c>
    </row>
    <row r="69" spans="1:9" ht="15.75">
      <c r="A69" s="57" t="s">
        <v>306</v>
      </c>
      <c r="B69" s="58" t="s">
        <v>98</v>
      </c>
      <c r="C69" s="59" t="s">
        <v>180</v>
      </c>
      <c r="D69" s="60" t="s">
        <v>181</v>
      </c>
      <c r="E69" s="61" t="s">
        <v>182</v>
      </c>
      <c r="F69" s="60" t="s">
        <v>183</v>
      </c>
      <c r="G69" s="60" t="s">
        <v>307</v>
      </c>
      <c r="H69" s="60" t="s">
        <v>308</v>
      </c>
      <c r="I69" s="60" t="s">
        <v>309</v>
      </c>
    </row>
    <row r="70" spans="1:9" ht="15.75">
      <c r="A70" s="57" t="s">
        <v>310</v>
      </c>
      <c r="B70" s="58" t="s">
        <v>105</v>
      </c>
      <c r="C70" s="59" t="s">
        <v>99</v>
      </c>
      <c r="D70" s="60" t="s">
        <v>100</v>
      </c>
      <c r="E70" s="61" t="s">
        <v>101</v>
      </c>
      <c r="F70" s="60" t="s">
        <v>102</v>
      </c>
      <c r="G70" s="60" t="s">
        <v>103</v>
      </c>
      <c r="H70" s="60" t="s">
        <v>103</v>
      </c>
      <c r="I70" s="60" t="s">
        <v>103</v>
      </c>
    </row>
    <row r="71" spans="1:9" ht="15.75">
      <c r="A71" s="57" t="s">
        <v>311</v>
      </c>
      <c r="B71" s="58" t="s">
        <v>153</v>
      </c>
      <c r="C71" s="59" t="s">
        <v>157</v>
      </c>
      <c r="D71" s="60" t="s">
        <v>158</v>
      </c>
      <c r="E71" s="61" t="s">
        <v>159</v>
      </c>
      <c r="F71" s="60" t="s">
        <v>160</v>
      </c>
      <c r="G71" s="60" t="s">
        <v>312</v>
      </c>
      <c r="H71" s="60" t="s">
        <v>313</v>
      </c>
      <c r="I71" s="60" t="s">
        <v>235</v>
      </c>
    </row>
    <row r="72" spans="1:9" ht="15.75">
      <c r="A72" s="57" t="s">
        <v>314</v>
      </c>
      <c r="B72" s="58" t="s">
        <v>148</v>
      </c>
      <c r="C72" s="59" t="s">
        <v>169</v>
      </c>
      <c r="D72" s="60" t="s">
        <v>170</v>
      </c>
      <c r="E72" s="61" t="s">
        <v>171</v>
      </c>
      <c r="F72" s="60" t="s">
        <v>172</v>
      </c>
      <c r="G72" s="60" t="s">
        <v>103</v>
      </c>
      <c r="H72" s="60" t="s">
        <v>103</v>
      </c>
      <c r="I72" s="60" t="s">
        <v>103</v>
      </c>
    </row>
    <row r="73" spans="1:9" ht="15.75">
      <c r="A73" s="57" t="s">
        <v>315</v>
      </c>
      <c r="B73" s="58" t="s">
        <v>98</v>
      </c>
      <c r="C73" s="59" t="s">
        <v>137</v>
      </c>
      <c r="D73" s="60" t="s">
        <v>138</v>
      </c>
      <c r="E73" s="61" t="s">
        <v>139</v>
      </c>
      <c r="F73" s="60" t="s">
        <v>140</v>
      </c>
      <c r="G73" s="60" t="s">
        <v>316</v>
      </c>
      <c r="H73" s="60" t="s">
        <v>317</v>
      </c>
      <c r="I73" s="60" t="s">
        <v>318</v>
      </c>
    </row>
    <row r="74" spans="1:9" ht="15.75">
      <c r="A74" s="57" t="s">
        <v>319</v>
      </c>
      <c r="B74" s="58" t="s">
        <v>148</v>
      </c>
      <c r="C74" s="59" t="s">
        <v>99</v>
      </c>
      <c r="D74" s="60" t="s">
        <v>100</v>
      </c>
      <c r="E74" s="61" t="s">
        <v>101</v>
      </c>
      <c r="F74" s="60" t="s">
        <v>102</v>
      </c>
      <c r="G74" s="60" t="s">
        <v>320</v>
      </c>
      <c r="H74" s="60" t="s">
        <v>321</v>
      </c>
      <c r="I74" s="60" t="s">
        <v>322</v>
      </c>
    </row>
    <row r="75" spans="1:9" ht="15.75">
      <c r="A75" s="57" t="s">
        <v>323</v>
      </c>
      <c r="B75" s="58" t="s">
        <v>98</v>
      </c>
      <c r="C75" s="59" t="s">
        <v>143</v>
      </c>
      <c r="D75" s="60" t="s">
        <v>144</v>
      </c>
      <c r="E75" s="61" t="s">
        <v>145</v>
      </c>
      <c r="F75" s="60" t="s">
        <v>146</v>
      </c>
      <c r="G75" s="60" t="s">
        <v>324</v>
      </c>
      <c r="H75" s="60" t="s">
        <v>325</v>
      </c>
      <c r="I75" s="60" t="s">
        <v>326</v>
      </c>
    </row>
    <row r="76" spans="1:9" ht="15.75">
      <c r="A76" s="57" t="s">
        <v>327</v>
      </c>
      <c r="B76" s="58" t="s">
        <v>132</v>
      </c>
      <c r="C76" s="59" t="s">
        <v>125</v>
      </c>
      <c r="D76" s="60" t="s">
        <v>126</v>
      </c>
      <c r="E76" s="61" t="s">
        <v>127</v>
      </c>
      <c r="F76" s="60" t="s">
        <v>126</v>
      </c>
      <c r="G76" s="60" t="s">
        <v>103</v>
      </c>
      <c r="H76" s="60" t="s">
        <v>103</v>
      </c>
      <c r="I76" s="60" t="s">
        <v>103</v>
      </c>
    </row>
    <row r="77" spans="1:9" ht="15.75">
      <c r="A77" s="57" t="s">
        <v>328</v>
      </c>
      <c r="B77" s="58" t="s">
        <v>153</v>
      </c>
      <c r="C77" s="59" t="s">
        <v>157</v>
      </c>
      <c r="D77" s="60" t="s">
        <v>158</v>
      </c>
      <c r="E77" s="61" t="s">
        <v>159</v>
      </c>
      <c r="F77" s="60" t="s">
        <v>160</v>
      </c>
      <c r="G77" s="60" t="s">
        <v>103</v>
      </c>
      <c r="H77" s="60" t="s">
        <v>103</v>
      </c>
      <c r="I77" s="60" t="s">
        <v>103</v>
      </c>
    </row>
    <row r="78" spans="1:9" ht="15.75">
      <c r="A78" s="57" t="s">
        <v>329</v>
      </c>
      <c r="B78" s="58" t="s">
        <v>153</v>
      </c>
      <c r="C78" s="59" t="s">
        <v>330</v>
      </c>
      <c r="D78" s="60" t="s">
        <v>331</v>
      </c>
      <c r="E78" s="61" t="s">
        <v>332</v>
      </c>
      <c r="F78" s="60" t="s">
        <v>333</v>
      </c>
      <c r="G78" s="60" t="s">
        <v>334</v>
      </c>
      <c r="H78" s="60" t="s">
        <v>335</v>
      </c>
      <c r="I78" s="60" t="s">
        <v>336</v>
      </c>
    </row>
    <row r="79" spans="1:9" ht="15.75">
      <c r="A79" s="57" t="s">
        <v>337</v>
      </c>
      <c r="B79" s="58" t="s">
        <v>132</v>
      </c>
      <c r="C79" s="59" t="s">
        <v>330</v>
      </c>
      <c r="D79" s="60" t="s">
        <v>331</v>
      </c>
      <c r="E79" s="61" t="s">
        <v>332</v>
      </c>
      <c r="F79" s="60" t="s">
        <v>333</v>
      </c>
      <c r="G79" s="60" t="s">
        <v>103</v>
      </c>
      <c r="H79" s="60" t="s">
        <v>103</v>
      </c>
      <c r="I79" s="60" t="s">
        <v>103</v>
      </c>
    </row>
    <row r="80" spans="1:9" ht="15.75">
      <c r="A80" s="57" t="s">
        <v>338</v>
      </c>
      <c r="B80" s="58" t="s">
        <v>105</v>
      </c>
      <c r="C80" s="59" t="s">
        <v>143</v>
      </c>
      <c r="D80" s="60" t="s">
        <v>144</v>
      </c>
      <c r="E80" s="61" t="s">
        <v>145</v>
      </c>
      <c r="F80" s="60" t="s">
        <v>146</v>
      </c>
      <c r="G80" s="60" t="s">
        <v>103</v>
      </c>
      <c r="H80" s="60" t="s">
        <v>103</v>
      </c>
      <c r="I80" s="60" t="s">
        <v>103</v>
      </c>
    </row>
    <row r="81" spans="1:9" ht="15.75">
      <c r="A81" s="57" t="s">
        <v>339</v>
      </c>
      <c r="B81" s="58" t="s">
        <v>111</v>
      </c>
      <c r="C81" s="59" t="s">
        <v>143</v>
      </c>
      <c r="D81" s="60" t="s">
        <v>144</v>
      </c>
      <c r="E81" s="61" t="s">
        <v>145</v>
      </c>
      <c r="F81" s="60" t="s">
        <v>146</v>
      </c>
      <c r="G81" s="60" t="s">
        <v>340</v>
      </c>
      <c r="H81" s="60" t="s">
        <v>341</v>
      </c>
      <c r="I81" s="60" t="s">
        <v>342</v>
      </c>
    </row>
    <row r="82" spans="1:9" ht="15.75">
      <c r="A82" s="57" t="s">
        <v>343</v>
      </c>
      <c r="B82" s="58" t="s">
        <v>98</v>
      </c>
      <c r="C82" s="59" t="s">
        <v>112</v>
      </c>
      <c r="D82" s="60" t="s">
        <v>102</v>
      </c>
      <c r="E82" s="61" t="s">
        <v>113</v>
      </c>
      <c r="F82" s="60" t="s">
        <v>114</v>
      </c>
      <c r="G82" s="60" t="s">
        <v>103</v>
      </c>
      <c r="H82" s="60" t="s">
        <v>103</v>
      </c>
      <c r="I82" s="60" t="s">
        <v>103</v>
      </c>
    </row>
    <row r="83" spans="1:9" ht="15.75">
      <c r="A83" s="57" t="s">
        <v>344</v>
      </c>
      <c r="B83" s="58" t="s">
        <v>153</v>
      </c>
      <c r="C83" s="59" t="s">
        <v>99</v>
      </c>
      <c r="D83" s="60" t="s">
        <v>100</v>
      </c>
      <c r="E83" s="61" t="s">
        <v>101</v>
      </c>
      <c r="F83" s="60" t="s">
        <v>102</v>
      </c>
      <c r="G83" s="60" t="s">
        <v>103</v>
      </c>
      <c r="H83" s="60" t="s">
        <v>103</v>
      </c>
      <c r="I83" s="60" t="s">
        <v>103</v>
      </c>
    </row>
    <row r="84" spans="1:9" ht="15.75">
      <c r="A84" s="57" t="s">
        <v>345</v>
      </c>
      <c r="B84" s="58" t="s">
        <v>98</v>
      </c>
      <c r="C84" s="59" t="s">
        <v>106</v>
      </c>
      <c r="D84" s="60" t="s">
        <v>107</v>
      </c>
      <c r="E84" s="61" t="s">
        <v>108</v>
      </c>
      <c r="F84" s="60" t="s">
        <v>109</v>
      </c>
      <c r="G84" s="60" t="s">
        <v>103</v>
      </c>
      <c r="H84" s="60" t="s">
        <v>103</v>
      </c>
      <c r="I84" s="60" t="s">
        <v>103</v>
      </c>
    </row>
    <row r="85" spans="1:9" ht="15.75">
      <c r="A85" s="57" t="s">
        <v>346</v>
      </c>
      <c r="B85" s="58" t="s">
        <v>105</v>
      </c>
      <c r="C85" s="59" t="s">
        <v>266</v>
      </c>
      <c r="D85" s="60" t="s">
        <v>267</v>
      </c>
      <c r="E85" s="61" t="s">
        <v>268</v>
      </c>
      <c r="F85" s="60" t="s">
        <v>269</v>
      </c>
      <c r="G85" s="60" t="s">
        <v>347</v>
      </c>
      <c r="H85" s="60" t="s">
        <v>348</v>
      </c>
      <c r="I85" s="60" t="s">
        <v>349</v>
      </c>
    </row>
    <row r="86" spans="1:9" ht="15.75">
      <c r="A86" s="57" t="s">
        <v>350</v>
      </c>
      <c r="B86" s="58" t="s">
        <v>105</v>
      </c>
      <c r="C86" s="59" t="s">
        <v>137</v>
      </c>
      <c r="D86" s="60" t="s">
        <v>138</v>
      </c>
      <c r="E86" s="61" t="s">
        <v>139</v>
      </c>
      <c r="F86" s="60" t="s">
        <v>140</v>
      </c>
      <c r="G86" s="60" t="s">
        <v>103</v>
      </c>
      <c r="H86" s="60" t="s">
        <v>103</v>
      </c>
      <c r="I86" s="60" t="s">
        <v>103</v>
      </c>
    </row>
    <row r="87" spans="1:9" ht="15.75">
      <c r="A87" s="57" t="s">
        <v>351</v>
      </c>
      <c r="B87" s="58" t="s">
        <v>132</v>
      </c>
      <c r="C87" s="59" t="s">
        <v>125</v>
      </c>
      <c r="D87" s="60" t="s">
        <v>126</v>
      </c>
      <c r="E87" s="61" t="s">
        <v>127</v>
      </c>
      <c r="F87" s="60" t="s">
        <v>126</v>
      </c>
      <c r="G87" s="60" t="s">
        <v>352</v>
      </c>
      <c r="H87" s="60" t="s">
        <v>353</v>
      </c>
      <c r="I87" s="60" t="s">
        <v>354</v>
      </c>
    </row>
    <row r="88" spans="1:9" ht="15.75">
      <c r="A88" s="57" t="s">
        <v>355</v>
      </c>
      <c r="B88" s="58" t="s">
        <v>124</v>
      </c>
      <c r="C88" s="59" t="s">
        <v>125</v>
      </c>
      <c r="D88" s="60" t="s">
        <v>126</v>
      </c>
      <c r="E88" s="61" t="s">
        <v>127</v>
      </c>
      <c r="F88" s="60" t="s">
        <v>126</v>
      </c>
      <c r="G88" s="60" t="s">
        <v>356</v>
      </c>
      <c r="H88" s="60" t="s">
        <v>357</v>
      </c>
      <c r="I88" s="60" t="s">
        <v>358</v>
      </c>
    </row>
    <row r="89" spans="1:9" ht="15.75">
      <c r="A89" s="57" t="s">
        <v>359</v>
      </c>
      <c r="B89" s="58" t="s">
        <v>111</v>
      </c>
      <c r="C89" s="59" t="s">
        <v>112</v>
      </c>
      <c r="D89" s="60" t="s">
        <v>102</v>
      </c>
      <c r="E89" s="61" t="s">
        <v>113</v>
      </c>
      <c r="F89" s="60" t="s">
        <v>114</v>
      </c>
      <c r="G89" s="60" t="s">
        <v>103</v>
      </c>
      <c r="H89" s="60" t="s">
        <v>103</v>
      </c>
      <c r="I89" s="60" t="s">
        <v>103</v>
      </c>
    </row>
    <row r="90" spans="1:9" ht="15.75">
      <c r="A90" s="57" t="s">
        <v>360</v>
      </c>
      <c r="B90" s="58" t="s">
        <v>105</v>
      </c>
      <c r="C90" s="59" t="s">
        <v>106</v>
      </c>
      <c r="D90" s="60" t="s">
        <v>107</v>
      </c>
      <c r="E90" s="61" t="s">
        <v>108</v>
      </c>
      <c r="F90" s="60" t="s">
        <v>109</v>
      </c>
      <c r="G90" s="60" t="s">
        <v>103</v>
      </c>
      <c r="H90" s="60" t="s">
        <v>103</v>
      </c>
      <c r="I90" s="60" t="s">
        <v>103</v>
      </c>
    </row>
    <row r="91" spans="1:9" ht="15.75">
      <c r="A91" s="57" t="s">
        <v>361</v>
      </c>
      <c r="B91" s="58" t="s">
        <v>132</v>
      </c>
      <c r="C91" s="59" t="s">
        <v>125</v>
      </c>
      <c r="D91" s="60" t="s">
        <v>126</v>
      </c>
      <c r="E91" s="61" t="s">
        <v>127</v>
      </c>
      <c r="F91" s="60" t="s">
        <v>126</v>
      </c>
      <c r="G91" s="60" t="s">
        <v>362</v>
      </c>
      <c r="H91" s="60" t="s">
        <v>363</v>
      </c>
      <c r="I91" s="60" t="s">
        <v>364</v>
      </c>
    </row>
    <row r="92" spans="1:9" ht="15.75">
      <c r="A92" s="57" t="s">
        <v>365</v>
      </c>
      <c r="B92" s="58" t="s">
        <v>148</v>
      </c>
      <c r="C92" s="59" t="s">
        <v>227</v>
      </c>
      <c r="D92" s="60" t="s">
        <v>228</v>
      </c>
      <c r="E92" s="61" t="s">
        <v>229</v>
      </c>
      <c r="F92" s="60" t="s">
        <v>230</v>
      </c>
      <c r="G92" s="60" t="s">
        <v>103</v>
      </c>
      <c r="H92" s="60" t="s">
        <v>103</v>
      </c>
      <c r="I92" s="60" t="s">
        <v>103</v>
      </c>
    </row>
    <row r="93" spans="1:9" ht="15.75">
      <c r="A93" s="57" t="s">
        <v>366</v>
      </c>
      <c r="B93" s="58" t="s">
        <v>153</v>
      </c>
      <c r="C93" s="59" t="s">
        <v>219</v>
      </c>
      <c r="D93" s="60" t="s">
        <v>220</v>
      </c>
      <c r="E93" s="61" t="s">
        <v>221</v>
      </c>
      <c r="F93" s="60" t="s">
        <v>222</v>
      </c>
      <c r="G93" s="60" t="s">
        <v>367</v>
      </c>
      <c r="H93" s="60" t="s">
        <v>368</v>
      </c>
      <c r="I93" s="60" t="s">
        <v>369</v>
      </c>
    </row>
    <row r="94" spans="1:9" ht="15.75">
      <c r="A94" s="57" t="s">
        <v>370</v>
      </c>
      <c r="B94" s="58" t="s">
        <v>111</v>
      </c>
      <c r="C94" s="59" t="s">
        <v>180</v>
      </c>
      <c r="D94" s="60" t="s">
        <v>181</v>
      </c>
      <c r="E94" s="61" t="s">
        <v>182</v>
      </c>
      <c r="F94" s="60" t="s">
        <v>183</v>
      </c>
      <c r="G94" s="60" t="s">
        <v>340</v>
      </c>
      <c r="H94" s="60" t="s">
        <v>341</v>
      </c>
      <c r="I94" s="60" t="s">
        <v>342</v>
      </c>
    </row>
    <row r="95" spans="1:9" ht="15.75">
      <c r="A95" s="57" t="s">
        <v>371</v>
      </c>
      <c r="B95" s="58" t="s">
        <v>153</v>
      </c>
      <c r="C95" s="59" t="s">
        <v>99</v>
      </c>
      <c r="D95" s="60" t="s">
        <v>100</v>
      </c>
      <c r="E95" s="61" t="s">
        <v>101</v>
      </c>
      <c r="F95" s="60" t="s">
        <v>102</v>
      </c>
      <c r="G95" s="60" t="s">
        <v>103</v>
      </c>
      <c r="H95" s="60" t="s">
        <v>103</v>
      </c>
      <c r="I95" s="60" t="s">
        <v>103</v>
      </c>
    </row>
    <row r="96" spans="1:9" ht="15.75">
      <c r="A96" s="57" t="s">
        <v>372</v>
      </c>
      <c r="B96" s="58" t="s">
        <v>111</v>
      </c>
      <c r="C96" s="59" t="s">
        <v>99</v>
      </c>
      <c r="D96" s="60" t="s">
        <v>100</v>
      </c>
      <c r="E96" s="61" t="s">
        <v>101</v>
      </c>
      <c r="F96" s="60" t="s">
        <v>102</v>
      </c>
      <c r="G96" s="60" t="s">
        <v>103</v>
      </c>
      <c r="H96" s="60" t="s">
        <v>103</v>
      </c>
      <c r="I96" s="60" t="s">
        <v>103</v>
      </c>
    </row>
    <row r="97" spans="1:9" ht="15.75">
      <c r="A97" s="57" t="s">
        <v>373</v>
      </c>
      <c r="B97" s="58" t="s">
        <v>111</v>
      </c>
      <c r="C97" s="59" t="s">
        <v>180</v>
      </c>
      <c r="D97" s="60" t="s">
        <v>181</v>
      </c>
      <c r="E97" s="61" t="s">
        <v>182</v>
      </c>
      <c r="F97" s="60" t="s">
        <v>183</v>
      </c>
      <c r="G97" s="60" t="s">
        <v>374</v>
      </c>
      <c r="H97" s="60" t="s">
        <v>375</v>
      </c>
      <c r="I97" s="60" t="s">
        <v>376</v>
      </c>
    </row>
    <row r="98" spans="1:9" ht="15.75">
      <c r="A98" s="57" t="s">
        <v>377</v>
      </c>
      <c r="B98" s="58" t="s">
        <v>153</v>
      </c>
      <c r="C98" s="59" t="s">
        <v>266</v>
      </c>
      <c r="D98" s="60" t="s">
        <v>267</v>
      </c>
      <c r="E98" s="61" t="s">
        <v>268</v>
      </c>
      <c r="F98" s="60" t="s">
        <v>269</v>
      </c>
      <c r="G98" s="60" t="s">
        <v>378</v>
      </c>
      <c r="H98" s="60" t="s">
        <v>379</v>
      </c>
      <c r="I98" s="60" t="s">
        <v>374</v>
      </c>
    </row>
    <row r="99" spans="1:9" ht="15.75">
      <c r="A99" s="57" t="s">
        <v>380</v>
      </c>
      <c r="B99" s="58" t="s">
        <v>98</v>
      </c>
      <c r="C99" s="59" t="s">
        <v>176</v>
      </c>
      <c r="D99" s="60" t="s">
        <v>177</v>
      </c>
      <c r="E99" s="61" t="s">
        <v>178</v>
      </c>
      <c r="F99" s="60" t="s">
        <v>144</v>
      </c>
      <c r="G99" s="60" t="s">
        <v>381</v>
      </c>
      <c r="H99" s="60" t="s">
        <v>382</v>
      </c>
      <c r="I99" s="60" t="s">
        <v>246</v>
      </c>
    </row>
    <row r="100" spans="1:9" ht="15.75">
      <c r="A100" s="57" t="s">
        <v>383</v>
      </c>
      <c r="B100" s="58" t="s">
        <v>132</v>
      </c>
      <c r="C100" s="59" t="s">
        <v>106</v>
      </c>
      <c r="D100" s="60" t="s">
        <v>107</v>
      </c>
      <c r="E100" s="61" t="s">
        <v>108</v>
      </c>
      <c r="F100" s="60" t="s">
        <v>109</v>
      </c>
      <c r="G100" s="60" t="s">
        <v>384</v>
      </c>
      <c r="H100" s="60" t="s">
        <v>385</v>
      </c>
      <c r="I100" s="60" t="s">
        <v>386</v>
      </c>
    </row>
    <row r="101" spans="1:9" ht="15.75">
      <c r="A101" s="57" t="s">
        <v>387</v>
      </c>
      <c r="B101" s="58" t="s">
        <v>148</v>
      </c>
      <c r="C101" s="59" t="s">
        <v>169</v>
      </c>
      <c r="D101" s="60" t="s">
        <v>170</v>
      </c>
      <c r="E101" s="61" t="s">
        <v>171</v>
      </c>
      <c r="F101" s="60" t="s">
        <v>172</v>
      </c>
      <c r="G101" s="60" t="s">
        <v>230</v>
      </c>
      <c r="H101" s="60" t="s">
        <v>388</v>
      </c>
      <c r="I101" s="60" t="s">
        <v>389</v>
      </c>
    </row>
    <row r="102" spans="1:9" ht="15.75">
      <c r="A102" s="57" t="s">
        <v>390</v>
      </c>
      <c r="B102" s="58" t="s">
        <v>98</v>
      </c>
      <c r="C102" s="59" t="s">
        <v>137</v>
      </c>
      <c r="D102" s="60" t="s">
        <v>138</v>
      </c>
      <c r="E102" s="61" t="s">
        <v>139</v>
      </c>
      <c r="F102" s="60" t="s">
        <v>140</v>
      </c>
      <c r="G102" s="60" t="s">
        <v>291</v>
      </c>
      <c r="H102" s="60" t="s">
        <v>391</v>
      </c>
      <c r="I102" s="60" t="s">
        <v>392</v>
      </c>
    </row>
    <row r="103" spans="1:9" ht="15.75">
      <c r="A103" s="57" t="s">
        <v>393</v>
      </c>
      <c r="B103" s="58" t="s">
        <v>98</v>
      </c>
      <c r="C103" s="59" t="s">
        <v>143</v>
      </c>
      <c r="D103" s="60" t="s">
        <v>144</v>
      </c>
      <c r="E103" s="61" t="s">
        <v>145</v>
      </c>
      <c r="F103" s="60" t="s">
        <v>146</v>
      </c>
      <c r="G103" s="60" t="s">
        <v>394</v>
      </c>
      <c r="H103" s="60" t="s">
        <v>332</v>
      </c>
      <c r="I103" s="60" t="s">
        <v>333</v>
      </c>
    </row>
    <row r="104" spans="1:9" ht="15.75">
      <c r="A104" s="57" t="s">
        <v>395</v>
      </c>
      <c r="B104" s="58" t="s">
        <v>148</v>
      </c>
      <c r="C104" s="59" t="s">
        <v>157</v>
      </c>
      <c r="D104" s="60" t="s">
        <v>158</v>
      </c>
      <c r="E104" s="61" t="s">
        <v>159</v>
      </c>
      <c r="F104" s="60" t="s">
        <v>160</v>
      </c>
      <c r="G104" s="60" t="s">
        <v>396</v>
      </c>
      <c r="H104" s="60" t="s">
        <v>397</v>
      </c>
      <c r="I104" s="60" t="s">
        <v>398</v>
      </c>
    </row>
    <row r="105" spans="1:9" ht="15.75">
      <c r="A105" s="57" t="s">
        <v>399</v>
      </c>
      <c r="B105" s="58" t="s">
        <v>105</v>
      </c>
      <c r="C105" s="59" t="s">
        <v>99</v>
      </c>
      <c r="D105" s="60" t="s">
        <v>100</v>
      </c>
      <c r="E105" s="61" t="s">
        <v>101</v>
      </c>
      <c r="F105" s="60" t="s">
        <v>102</v>
      </c>
      <c r="G105" s="60" t="s">
        <v>103</v>
      </c>
      <c r="H105" s="60" t="s">
        <v>103</v>
      </c>
      <c r="I105" s="60" t="s">
        <v>103</v>
      </c>
    </row>
    <row r="106" spans="1:9" ht="15.75">
      <c r="A106" s="57" t="s">
        <v>400</v>
      </c>
      <c r="B106" s="58" t="s">
        <v>153</v>
      </c>
      <c r="C106" s="59" t="s">
        <v>125</v>
      </c>
      <c r="D106" s="60" t="s">
        <v>126</v>
      </c>
      <c r="E106" s="61" t="s">
        <v>127</v>
      </c>
      <c r="F106" s="60" t="s">
        <v>126</v>
      </c>
      <c r="G106" s="60" t="s">
        <v>103</v>
      </c>
      <c r="H106" s="60" t="s">
        <v>103</v>
      </c>
      <c r="I106" s="60" t="s">
        <v>103</v>
      </c>
    </row>
    <row r="107" spans="1:9" ht="15.75">
      <c r="A107" s="57" t="s">
        <v>401</v>
      </c>
      <c r="B107" s="58" t="s">
        <v>98</v>
      </c>
      <c r="C107" s="59" t="s">
        <v>176</v>
      </c>
      <c r="D107" s="60" t="s">
        <v>177</v>
      </c>
      <c r="E107" s="61" t="s">
        <v>178</v>
      </c>
      <c r="F107" s="60" t="s">
        <v>144</v>
      </c>
      <c r="G107" s="60" t="s">
        <v>402</v>
      </c>
      <c r="H107" s="60" t="s">
        <v>403</v>
      </c>
      <c r="I107" s="60" t="s">
        <v>312</v>
      </c>
    </row>
    <row r="108" spans="1:9" ht="15.75">
      <c r="A108" s="57" t="s">
        <v>404</v>
      </c>
      <c r="B108" s="58" t="s">
        <v>98</v>
      </c>
      <c r="C108" s="59" t="s">
        <v>180</v>
      </c>
      <c r="D108" s="60" t="s">
        <v>181</v>
      </c>
      <c r="E108" s="61" t="s">
        <v>182</v>
      </c>
      <c r="F108" s="60" t="s">
        <v>183</v>
      </c>
      <c r="G108" s="60" t="s">
        <v>405</v>
      </c>
      <c r="H108" s="60" t="s">
        <v>406</v>
      </c>
      <c r="I108" s="60" t="s">
        <v>407</v>
      </c>
    </row>
    <row r="109" spans="1:9" ht="15.75">
      <c r="A109" s="57" t="s">
        <v>408</v>
      </c>
      <c r="B109" s="58" t="s">
        <v>105</v>
      </c>
      <c r="C109" s="59" t="s">
        <v>143</v>
      </c>
      <c r="D109" s="60" t="s">
        <v>144</v>
      </c>
      <c r="E109" s="61" t="s">
        <v>145</v>
      </c>
      <c r="F109" s="60" t="s">
        <v>146</v>
      </c>
      <c r="G109" s="60" t="s">
        <v>409</v>
      </c>
      <c r="H109" s="60" t="s">
        <v>410</v>
      </c>
      <c r="I109" s="60" t="s">
        <v>411</v>
      </c>
    </row>
    <row r="110" spans="1:9" ht="15.75">
      <c r="A110" s="57" t="s">
        <v>412</v>
      </c>
      <c r="B110" s="58" t="s">
        <v>132</v>
      </c>
      <c r="C110" s="59" t="s">
        <v>137</v>
      </c>
      <c r="D110" s="60" t="s">
        <v>138</v>
      </c>
      <c r="E110" s="61" t="s">
        <v>139</v>
      </c>
      <c r="F110" s="60" t="s">
        <v>140</v>
      </c>
      <c r="G110" s="60" t="s">
        <v>413</v>
      </c>
      <c r="H110" s="60" t="s">
        <v>414</v>
      </c>
      <c r="I110" s="60" t="s">
        <v>415</v>
      </c>
    </row>
    <row r="111" spans="1:9" ht="15.75">
      <c r="A111" s="57" t="s">
        <v>416</v>
      </c>
      <c r="B111" s="58" t="s">
        <v>153</v>
      </c>
      <c r="C111" s="59" t="s">
        <v>99</v>
      </c>
      <c r="D111" s="60" t="s">
        <v>100</v>
      </c>
      <c r="E111" s="61" t="s">
        <v>101</v>
      </c>
      <c r="F111" s="60" t="s">
        <v>102</v>
      </c>
      <c r="G111" s="60" t="s">
        <v>103</v>
      </c>
      <c r="H111" s="60" t="s">
        <v>103</v>
      </c>
      <c r="I111" s="60" t="s">
        <v>103</v>
      </c>
    </row>
    <row r="112" spans="1:9" ht="15.75">
      <c r="A112" s="57" t="s">
        <v>417</v>
      </c>
      <c r="B112" s="58" t="s">
        <v>105</v>
      </c>
      <c r="C112" s="59" t="s">
        <v>143</v>
      </c>
      <c r="D112" s="60" t="s">
        <v>144</v>
      </c>
      <c r="E112" s="61" t="s">
        <v>145</v>
      </c>
      <c r="F112" s="60" t="s">
        <v>146</v>
      </c>
      <c r="G112" s="60" t="s">
        <v>103</v>
      </c>
      <c r="H112" s="60" t="s">
        <v>103</v>
      </c>
      <c r="I112" s="60" t="s">
        <v>103</v>
      </c>
    </row>
    <row r="113" spans="1:9" ht="15.75">
      <c r="A113" s="57" t="s">
        <v>418</v>
      </c>
      <c r="B113" s="58" t="s">
        <v>142</v>
      </c>
      <c r="C113" s="59" t="s">
        <v>192</v>
      </c>
      <c r="D113" s="60" t="s">
        <v>193</v>
      </c>
      <c r="E113" s="61" t="s">
        <v>194</v>
      </c>
      <c r="F113" s="60" t="s">
        <v>195</v>
      </c>
      <c r="G113" s="60" t="s">
        <v>103</v>
      </c>
      <c r="H113" s="60" t="s">
        <v>103</v>
      </c>
      <c r="I113" s="60" t="s">
        <v>103</v>
      </c>
    </row>
    <row r="114" spans="1:9" ht="15.75">
      <c r="A114" s="57" t="s">
        <v>419</v>
      </c>
      <c r="B114" s="58" t="s">
        <v>142</v>
      </c>
      <c r="C114" s="59" t="s">
        <v>106</v>
      </c>
      <c r="D114" s="60" t="s">
        <v>107</v>
      </c>
      <c r="E114" s="61" t="s">
        <v>108</v>
      </c>
      <c r="F114" s="60" t="s">
        <v>109</v>
      </c>
      <c r="G114" s="60" t="s">
        <v>103</v>
      </c>
      <c r="H114" s="60" t="s">
        <v>103</v>
      </c>
      <c r="I114" s="60" t="s">
        <v>103</v>
      </c>
    </row>
    <row r="115" spans="1:9" ht="15.75">
      <c r="A115" s="57" t="s">
        <v>420</v>
      </c>
      <c r="B115" s="58" t="s">
        <v>132</v>
      </c>
      <c r="C115" s="59" t="s">
        <v>125</v>
      </c>
      <c r="D115" s="60" t="s">
        <v>126</v>
      </c>
      <c r="E115" s="61" t="s">
        <v>127</v>
      </c>
      <c r="F115" s="60" t="s">
        <v>126</v>
      </c>
      <c r="G115" s="60" t="s">
        <v>362</v>
      </c>
      <c r="H115" s="60" t="s">
        <v>363</v>
      </c>
      <c r="I115" s="60" t="s">
        <v>364</v>
      </c>
    </row>
    <row r="116" spans="1:9" ht="15.75">
      <c r="A116" s="57" t="s">
        <v>421</v>
      </c>
      <c r="B116" s="58" t="s">
        <v>132</v>
      </c>
      <c r="C116" s="59" t="s">
        <v>125</v>
      </c>
      <c r="D116" s="60" t="s">
        <v>126</v>
      </c>
      <c r="E116" s="61" t="s">
        <v>127</v>
      </c>
      <c r="F116" s="60" t="s">
        <v>126</v>
      </c>
      <c r="G116" s="60" t="s">
        <v>422</v>
      </c>
      <c r="H116" s="60" t="s">
        <v>423</v>
      </c>
      <c r="I116" s="60" t="s">
        <v>424</v>
      </c>
    </row>
    <row r="117" spans="1:9" ht="15.75">
      <c r="A117" s="57" t="s">
        <v>425</v>
      </c>
      <c r="B117" s="58" t="s">
        <v>153</v>
      </c>
      <c r="C117" s="59" t="s">
        <v>157</v>
      </c>
      <c r="D117" s="60" t="s">
        <v>158</v>
      </c>
      <c r="E117" s="61" t="s">
        <v>159</v>
      </c>
      <c r="F117" s="60" t="s">
        <v>160</v>
      </c>
      <c r="G117" s="60" t="s">
        <v>103</v>
      </c>
      <c r="H117" s="60" t="s">
        <v>103</v>
      </c>
      <c r="I117" s="60" t="s">
        <v>103</v>
      </c>
    </row>
    <row r="118" spans="1:9" ht="15.75">
      <c r="A118" s="57" t="s">
        <v>426</v>
      </c>
      <c r="B118" s="58" t="s">
        <v>153</v>
      </c>
      <c r="C118" s="59" t="s">
        <v>143</v>
      </c>
      <c r="D118" s="60" t="s">
        <v>144</v>
      </c>
      <c r="E118" s="61" t="s">
        <v>145</v>
      </c>
      <c r="F118" s="60" t="s">
        <v>146</v>
      </c>
      <c r="G118" s="60" t="s">
        <v>427</v>
      </c>
      <c r="H118" s="60" t="s">
        <v>428</v>
      </c>
      <c r="I118" s="60" t="s">
        <v>334</v>
      </c>
    </row>
    <row r="119" spans="1:9" ht="15.75">
      <c r="A119" s="57" t="s">
        <v>429</v>
      </c>
      <c r="B119" s="58" t="s">
        <v>142</v>
      </c>
      <c r="C119" s="59" t="s">
        <v>143</v>
      </c>
      <c r="D119" s="60" t="s">
        <v>144</v>
      </c>
      <c r="E119" s="61" t="s">
        <v>145</v>
      </c>
      <c r="F119" s="60" t="s">
        <v>146</v>
      </c>
      <c r="G119" s="60" t="s">
        <v>103</v>
      </c>
      <c r="H119" s="60" t="s">
        <v>103</v>
      </c>
      <c r="I119" s="60" t="s">
        <v>103</v>
      </c>
    </row>
    <row r="120" spans="1:9" ht="15.75">
      <c r="A120" s="57" t="s">
        <v>430</v>
      </c>
      <c r="B120" s="58" t="s">
        <v>105</v>
      </c>
      <c r="C120" s="59" t="s">
        <v>137</v>
      </c>
      <c r="D120" s="60" t="s">
        <v>138</v>
      </c>
      <c r="E120" s="61" t="s">
        <v>139</v>
      </c>
      <c r="F120" s="60" t="s">
        <v>140</v>
      </c>
      <c r="G120" s="60" t="s">
        <v>431</v>
      </c>
      <c r="H120" s="60" t="s">
        <v>432</v>
      </c>
      <c r="I120" s="60" t="s">
        <v>433</v>
      </c>
    </row>
    <row r="121" spans="1:9" ht="15.75">
      <c r="A121" s="57" t="s">
        <v>434</v>
      </c>
      <c r="B121" s="58" t="s">
        <v>132</v>
      </c>
      <c r="C121" s="59" t="s">
        <v>266</v>
      </c>
      <c r="D121" s="60" t="s">
        <v>267</v>
      </c>
      <c r="E121" s="61" t="s">
        <v>268</v>
      </c>
      <c r="F121" s="60" t="s">
        <v>269</v>
      </c>
      <c r="G121" s="60" t="s">
        <v>435</v>
      </c>
      <c r="H121" s="60" t="s">
        <v>436</v>
      </c>
      <c r="I121" s="60" t="s">
        <v>437</v>
      </c>
    </row>
    <row r="122" spans="1:9" ht="15.75">
      <c r="A122" s="57" t="s">
        <v>438</v>
      </c>
      <c r="B122" s="58" t="s">
        <v>98</v>
      </c>
      <c r="C122" s="59" t="s">
        <v>112</v>
      </c>
      <c r="D122" s="60" t="s">
        <v>102</v>
      </c>
      <c r="E122" s="61" t="s">
        <v>113</v>
      </c>
      <c r="F122" s="60" t="s">
        <v>114</v>
      </c>
      <c r="G122" s="60" t="s">
        <v>335</v>
      </c>
      <c r="H122" s="60" t="s">
        <v>439</v>
      </c>
      <c r="I122" s="60" t="s">
        <v>440</v>
      </c>
    </row>
    <row r="123" spans="1:9" ht="15.75">
      <c r="A123" s="57" t="s">
        <v>441</v>
      </c>
      <c r="B123" s="58" t="s">
        <v>148</v>
      </c>
      <c r="C123" s="59" t="s">
        <v>169</v>
      </c>
      <c r="D123" s="60" t="s">
        <v>170</v>
      </c>
      <c r="E123" s="61" t="s">
        <v>171</v>
      </c>
      <c r="F123" s="60" t="s">
        <v>172</v>
      </c>
      <c r="G123" s="60" t="s">
        <v>103</v>
      </c>
      <c r="H123" s="60" t="s">
        <v>103</v>
      </c>
      <c r="I123" s="60" t="s">
        <v>103</v>
      </c>
    </row>
    <row r="124" spans="1:9" ht="15.75">
      <c r="A124" s="57" t="s">
        <v>442</v>
      </c>
      <c r="B124" s="58" t="s">
        <v>132</v>
      </c>
      <c r="C124" s="59" t="s">
        <v>125</v>
      </c>
      <c r="D124" s="60" t="s">
        <v>126</v>
      </c>
      <c r="E124" s="61" t="s">
        <v>127</v>
      </c>
      <c r="F124" s="60" t="s">
        <v>126</v>
      </c>
      <c r="G124" s="60" t="s">
        <v>443</v>
      </c>
      <c r="H124" s="60" t="s">
        <v>444</v>
      </c>
      <c r="I124" s="60" t="s">
        <v>445</v>
      </c>
    </row>
    <row r="125" spans="1:9" ht="15.75">
      <c r="A125" s="57" t="s">
        <v>446</v>
      </c>
      <c r="B125" s="58" t="s">
        <v>197</v>
      </c>
      <c r="C125" s="59" t="s">
        <v>125</v>
      </c>
      <c r="D125" s="60" t="s">
        <v>126</v>
      </c>
      <c r="E125" s="61" t="s">
        <v>127</v>
      </c>
      <c r="F125" s="60" t="s">
        <v>126</v>
      </c>
      <c r="G125" s="60" t="s">
        <v>447</v>
      </c>
      <c r="H125" s="60" t="s">
        <v>127</v>
      </c>
      <c r="I125" s="60" t="s">
        <v>126</v>
      </c>
    </row>
    <row r="126" spans="1:9" ht="15.75">
      <c r="A126" s="57" t="s">
        <v>448</v>
      </c>
      <c r="B126" s="58" t="s">
        <v>111</v>
      </c>
      <c r="C126" s="59" t="s">
        <v>137</v>
      </c>
      <c r="D126" s="60" t="s">
        <v>138</v>
      </c>
      <c r="E126" s="61" t="s">
        <v>139</v>
      </c>
      <c r="F126" s="60" t="s">
        <v>140</v>
      </c>
      <c r="G126" s="60" t="s">
        <v>103</v>
      </c>
      <c r="H126" s="60" t="s">
        <v>103</v>
      </c>
      <c r="I126" s="60" t="s">
        <v>103</v>
      </c>
    </row>
    <row r="127" spans="1:9" ht="15.75">
      <c r="A127" s="57" t="s">
        <v>449</v>
      </c>
      <c r="B127" s="58" t="s">
        <v>111</v>
      </c>
      <c r="C127" s="59" t="s">
        <v>99</v>
      </c>
      <c r="D127" s="60" t="s">
        <v>100</v>
      </c>
      <c r="E127" s="61" t="s">
        <v>101</v>
      </c>
      <c r="F127" s="60" t="s">
        <v>102</v>
      </c>
      <c r="G127" s="60" t="s">
        <v>171</v>
      </c>
      <c r="H127" s="60" t="s">
        <v>224</v>
      </c>
      <c r="I127" s="60" t="s">
        <v>225</v>
      </c>
    </row>
    <row r="128" spans="1:9" ht="15.75">
      <c r="A128" s="57" t="s">
        <v>450</v>
      </c>
      <c r="B128" s="58" t="s">
        <v>153</v>
      </c>
      <c r="C128" s="59" t="s">
        <v>192</v>
      </c>
      <c r="D128" s="60" t="s">
        <v>193</v>
      </c>
      <c r="E128" s="61" t="s">
        <v>194</v>
      </c>
      <c r="F128" s="60" t="s">
        <v>195</v>
      </c>
      <c r="G128" s="60" t="s">
        <v>451</v>
      </c>
      <c r="H128" s="60" t="s">
        <v>452</v>
      </c>
      <c r="I128" s="60" t="s">
        <v>453</v>
      </c>
    </row>
    <row r="129" spans="1:9" ht="15.75">
      <c r="A129" s="57" t="s">
        <v>454</v>
      </c>
      <c r="B129" s="58" t="s">
        <v>105</v>
      </c>
      <c r="C129" s="59" t="s">
        <v>99</v>
      </c>
      <c r="D129" s="60" t="s">
        <v>100</v>
      </c>
      <c r="E129" s="61" t="s">
        <v>101</v>
      </c>
      <c r="F129" s="60" t="s">
        <v>102</v>
      </c>
      <c r="G129" s="60" t="s">
        <v>103</v>
      </c>
      <c r="H129" s="60" t="s">
        <v>103</v>
      </c>
      <c r="I129" s="60" t="s">
        <v>103</v>
      </c>
    </row>
    <row r="133" spans="1:9">
      <c r="A133" t="s">
        <v>83</v>
      </c>
    </row>
    <row r="135" spans="1:9">
      <c r="A135" t="s">
        <v>455</v>
      </c>
    </row>
  </sheetData>
  <mergeCells count="2">
    <mergeCell ref="C10:F10"/>
    <mergeCell ref="G10:I10"/>
  </mergeCells>
  <pageMargins left="0.7" right="0.7" top="0.78740157499999996" bottom="0.78740157499999996"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6"/>
  <sheetViews>
    <sheetView topLeftCell="A353" workbookViewId="0">
      <selection activeCell="K358" sqref="K358"/>
    </sheetView>
  </sheetViews>
  <sheetFormatPr baseColWidth="10" defaultRowHeight="15"/>
  <sheetData>
    <row r="1" spans="1:12" ht="29.25">
      <c r="A1" s="62"/>
    </row>
    <row r="2" spans="1:12" ht="15.75" thickBot="1">
      <c r="A2" s="63"/>
    </row>
    <row r="3" spans="1:12" ht="15.75" thickBot="1">
      <c r="A3" s="316" t="s">
        <v>456</v>
      </c>
      <c r="B3" s="317"/>
      <c r="C3" s="317"/>
      <c r="D3" s="317"/>
      <c r="E3" s="317"/>
      <c r="F3" s="317"/>
      <c r="G3" s="317"/>
      <c r="H3" s="317"/>
      <c r="I3" s="317"/>
      <c r="J3" s="317"/>
      <c r="K3" s="317"/>
      <c r="L3" s="318"/>
    </row>
    <row r="4" spans="1:12" ht="24.75" thickBot="1">
      <c r="A4" s="64" t="s">
        <v>90</v>
      </c>
      <c r="B4" s="65" t="s">
        <v>457</v>
      </c>
      <c r="C4" s="65" t="s">
        <v>458</v>
      </c>
      <c r="D4" s="66">
        <v>2010</v>
      </c>
      <c r="E4" s="66">
        <v>2011</v>
      </c>
      <c r="F4" s="66">
        <v>2012</v>
      </c>
      <c r="G4" s="66">
        <v>2013</v>
      </c>
      <c r="H4" s="66">
        <v>2014</v>
      </c>
      <c r="I4" s="66">
        <v>2015</v>
      </c>
      <c r="J4" s="66">
        <v>2016</v>
      </c>
      <c r="K4" s="66">
        <v>2017</v>
      </c>
      <c r="L4" s="67"/>
    </row>
    <row r="5" spans="1:12" ht="15.75" thickBot="1">
      <c r="A5" s="68" t="s">
        <v>459</v>
      </c>
      <c r="B5" s="69" t="s">
        <v>460</v>
      </c>
      <c r="C5" s="69" t="s">
        <v>461</v>
      </c>
      <c r="D5" s="70">
        <v>8.4350000000000005</v>
      </c>
      <c r="E5" s="70">
        <v>5.7649999999999997</v>
      </c>
      <c r="F5" s="71">
        <v>5.2229999999999999</v>
      </c>
      <c r="G5" s="71">
        <v>6.5</v>
      </c>
      <c r="H5" s="71">
        <v>5.9260000000000002</v>
      </c>
      <c r="I5" s="71">
        <v>5.8959999999999999</v>
      </c>
      <c r="J5" s="71">
        <v>5.3319999999999999</v>
      </c>
      <c r="K5" s="71">
        <v>4.1900000000000004</v>
      </c>
      <c r="L5" s="67"/>
    </row>
    <row r="6" spans="1:12" ht="15.75" thickBot="1">
      <c r="A6" s="68" t="s">
        <v>459</v>
      </c>
      <c r="B6" s="69" t="s">
        <v>462</v>
      </c>
      <c r="C6" s="69" t="s">
        <v>461</v>
      </c>
      <c r="D6" s="70">
        <v>16.622</v>
      </c>
      <c r="E6" s="70">
        <v>11.263</v>
      </c>
      <c r="F6" s="71">
        <v>5.8949999999999996</v>
      </c>
      <c r="G6" s="71">
        <v>5.4219999999999997</v>
      </c>
      <c r="H6" s="71">
        <v>5</v>
      </c>
      <c r="I6" s="71">
        <v>5</v>
      </c>
      <c r="J6" s="71">
        <v>5</v>
      </c>
      <c r="K6" s="71">
        <v>5</v>
      </c>
      <c r="L6" s="67"/>
    </row>
    <row r="7" spans="1:12" ht="15.75" thickBot="1">
      <c r="A7" s="68" t="s">
        <v>97</v>
      </c>
      <c r="B7" s="69" t="s">
        <v>460</v>
      </c>
      <c r="C7" s="69" t="s">
        <v>461</v>
      </c>
      <c r="D7" s="71">
        <v>3.5</v>
      </c>
      <c r="E7" s="71">
        <v>3</v>
      </c>
      <c r="F7" s="71">
        <v>0.5</v>
      </c>
      <c r="G7" s="71">
        <v>1.7</v>
      </c>
      <c r="H7" s="71">
        <v>2.5</v>
      </c>
      <c r="I7" s="71">
        <v>2.5</v>
      </c>
      <c r="J7" s="71">
        <v>2.5</v>
      </c>
      <c r="K7" s="71">
        <v>2.5</v>
      </c>
      <c r="L7" s="67"/>
    </row>
    <row r="8" spans="1:12" ht="15.75" thickBot="1">
      <c r="A8" s="68" t="s">
        <v>97</v>
      </c>
      <c r="B8" s="69" t="s">
        <v>462</v>
      </c>
      <c r="C8" s="69" t="s">
        <v>461</v>
      </c>
      <c r="D8" s="70">
        <v>3.3570000000000002</v>
      </c>
      <c r="E8" s="70">
        <v>1.6639999999999999</v>
      </c>
      <c r="F8" s="71">
        <v>3.0049999999999999</v>
      </c>
      <c r="G8" s="71">
        <v>3</v>
      </c>
      <c r="H8" s="71">
        <v>3</v>
      </c>
      <c r="I8" s="71">
        <v>3</v>
      </c>
      <c r="J8" s="71">
        <v>3</v>
      </c>
      <c r="K8" s="71">
        <v>3</v>
      </c>
      <c r="L8" s="67"/>
    </row>
    <row r="9" spans="1:12" ht="15.75" thickBot="1">
      <c r="A9" s="68" t="s">
        <v>463</v>
      </c>
      <c r="B9" s="69" t="s">
        <v>460</v>
      </c>
      <c r="C9" s="69" t="s">
        <v>461</v>
      </c>
      <c r="D9" s="70">
        <v>3.2869999999999999</v>
      </c>
      <c r="E9" s="70">
        <v>2.351</v>
      </c>
      <c r="F9" s="71">
        <v>2.5640000000000001</v>
      </c>
      <c r="G9" s="71">
        <v>3.3809999999999998</v>
      </c>
      <c r="H9" s="71">
        <v>3.3490000000000002</v>
      </c>
      <c r="I9" s="71">
        <v>3.407</v>
      </c>
      <c r="J9" s="71">
        <v>3.9390000000000001</v>
      </c>
      <c r="K9" s="71">
        <v>4.0140000000000002</v>
      </c>
      <c r="L9" s="67"/>
    </row>
    <row r="10" spans="1:12" ht="15.75" thickBot="1">
      <c r="A10" s="68" t="s">
        <v>463</v>
      </c>
      <c r="B10" s="69" t="s">
        <v>462</v>
      </c>
      <c r="C10" s="69" t="s">
        <v>461</v>
      </c>
      <c r="D10" s="70">
        <v>3.5670000000000002</v>
      </c>
      <c r="E10" s="70">
        <v>5.16</v>
      </c>
      <c r="F10" s="71">
        <v>6.3</v>
      </c>
      <c r="G10" s="71">
        <v>5</v>
      </c>
      <c r="H10" s="71">
        <v>3.968</v>
      </c>
      <c r="I10" s="71">
        <v>4.218</v>
      </c>
      <c r="J10" s="71">
        <v>4.2699999999999996</v>
      </c>
      <c r="K10" s="71">
        <v>4.4109999999999996</v>
      </c>
      <c r="L10" s="67"/>
    </row>
    <row r="11" spans="1:12" ht="15.75" thickBot="1">
      <c r="A11" s="68" t="s">
        <v>104</v>
      </c>
      <c r="B11" s="69" t="s">
        <v>460</v>
      </c>
      <c r="C11" s="69" t="s">
        <v>461</v>
      </c>
      <c r="D11" s="70">
        <v>3.4079999999999999</v>
      </c>
      <c r="E11" s="70">
        <v>3.919</v>
      </c>
      <c r="F11" s="71">
        <v>6.8310000000000004</v>
      </c>
      <c r="G11" s="71">
        <v>5.4569999999999999</v>
      </c>
      <c r="H11" s="71">
        <v>5.41</v>
      </c>
      <c r="I11" s="71">
        <v>5.367</v>
      </c>
      <c r="J11" s="71">
        <v>5.1970000000000001</v>
      </c>
      <c r="K11" s="71">
        <v>5.3159999999999998</v>
      </c>
      <c r="L11" s="67"/>
    </row>
    <row r="12" spans="1:12" ht="15.75" thickBot="1">
      <c r="A12" s="68" t="s">
        <v>104</v>
      </c>
      <c r="B12" s="69" t="s">
        <v>462</v>
      </c>
      <c r="C12" s="69" t="s">
        <v>461</v>
      </c>
      <c r="D12" s="70">
        <v>15.332000000000001</v>
      </c>
      <c r="E12" s="71">
        <v>11.394</v>
      </c>
      <c r="F12" s="71">
        <v>9.5939999999999994</v>
      </c>
      <c r="G12" s="71">
        <v>7.5</v>
      </c>
      <c r="H12" s="71">
        <v>7.5</v>
      </c>
      <c r="I12" s="71">
        <v>7.4</v>
      </c>
      <c r="J12" s="71">
        <v>7.4</v>
      </c>
      <c r="K12" s="71">
        <v>7.4</v>
      </c>
      <c r="L12" s="67"/>
    </row>
    <row r="13" spans="1:12" ht="15.75" thickBot="1">
      <c r="A13" s="68" t="s">
        <v>464</v>
      </c>
      <c r="B13" s="69" t="s">
        <v>460</v>
      </c>
      <c r="C13" s="69" t="s">
        <v>461</v>
      </c>
      <c r="D13" s="70">
        <v>-8.5280000000000005</v>
      </c>
      <c r="E13" s="71">
        <v>-5.4779999999999998</v>
      </c>
      <c r="F13" s="71">
        <v>1.0149999999999999</v>
      </c>
      <c r="G13" s="71">
        <v>1.4950000000000001</v>
      </c>
      <c r="H13" s="71">
        <v>3.2010000000000001</v>
      </c>
      <c r="I13" s="71">
        <v>3.43</v>
      </c>
      <c r="J13" s="71">
        <v>3.5129999999999999</v>
      </c>
      <c r="K13" s="71">
        <v>3.5139999999999998</v>
      </c>
      <c r="L13" s="67"/>
    </row>
    <row r="14" spans="1:12" ht="15.75" thickBot="1">
      <c r="A14" s="68" t="s">
        <v>464</v>
      </c>
      <c r="B14" s="69" t="s">
        <v>462</v>
      </c>
      <c r="C14" s="69" t="s">
        <v>461</v>
      </c>
      <c r="D14" s="70">
        <v>2.9409999999999998</v>
      </c>
      <c r="E14" s="70">
        <v>4.0270000000000001</v>
      </c>
      <c r="F14" s="71">
        <v>2.9870000000000001</v>
      </c>
      <c r="G14" s="71">
        <v>3.0920000000000001</v>
      </c>
      <c r="H14" s="71">
        <v>2.7639999999999998</v>
      </c>
      <c r="I14" s="71">
        <v>2.6619999999999999</v>
      </c>
      <c r="J14" s="71">
        <v>2.5289999999999999</v>
      </c>
      <c r="K14" s="71">
        <v>2.427</v>
      </c>
      <c r="L14" s="67"/>
    </row>
    <row r="15" spans="1:12" ht="15.75" thickBot="1">
      <c r="A15" s="68" t="s">
        <v>110</v>
      </c>
      <c r="B15" s="69" t="s">
        <v>460</v>
      </c>
      <c r="C15" s="69" t="s">
        <v>461</v>
      </c>
      <c r="D15" s="70">
        <v>9.1609999999999996</v>
      </c>
      <c r="E15" s="71">
        <v>8.8699999999999992</v>
      </c>
      <c r="F15" s="71">
        <v>2.585</v>
      </c>
      <c r="G15" s="71">
        <v>3.0590000000000002</v>
      </c>
      <c r="H15" s="71">
        <v>3.8290000000000002</v>
      </c>
      <c r="I15" s="71">
        <v>3.984</v>
      </c>
      <c r="J15" s="71">
        <v>4.0330000000000004</v>
      </c>
      <c r="K15" s="71">
        <v>4.0350000000000001</v>
      </c>
      <c r="L15" s="67"/>
    </row>
    <row r="16" spans="1:12" ht="15.75" thickBot="1">
      <c r="A16" s="68" t="s">
        <v>110</v>
      </c>
      <c r="B16" s="69" t="s">
        <v>462</v>
      </c>
      <c r="C16" s="69" t="s">
        <v>461</v>
      </c>
      <c r="D16" s="70">
        <v>10.923</v>
      </c>
      <c r="E16" s="71">
        <v>9.5079999999999991</v>
      </c>
      <c r="F16" s="71">
        <v>9.85</v>
      </c>
      <c r="G16" s="71">
        <v>9.85</v>
      </c>
      <c r="H16" s="71">
        <v>9.85</v>
      </c>
      <c r="I16" s="71">
        <v>9.85</v>
      </c>
      <c r="J16" s="71">
        <v>9.85</v>
      </c>
      <c r="K16" s="71">
        <v>9.85</v>
      </c>
      <c r="L16" s="67"/>
    </row>
    <row r="17" spans="1:12" ht="15.75" thickBot="1">
      <c r="A17" s="68" t="s">
        <v>118</v>
      </c>
      <c r="B17" s="69" t="s">
        <v>460</v>
      </c>
      <c r="C17" s="69" t="s">
        <v>461</v>
      </c>
      <c r="D17" s="70">
        <v>2.0960000000000001</v>
      </c>
      <c r="E17" s="70">
        <v>4.5519999999999996</v>
      </c>
      <c r="F17" s="71">
        <v>3.9060000000000001</v>
      </c>
      <c r="G17" s="71">
        <v>4</v>
      </c>
      <c r="H17" s="71">
        <v>4</v>
      </c>
      <c r="I17" s="71">
        <v>4</v>
      </c>
      <c r="J17" s="71">
        <v>4</v>
      </c>
      <c r="K17" s="71">
        <v>4</v>
      </c>
      <c r="L17" s="67"/>
    </row>
    <row r="18" spans="1:12" ht="15.75" thickBot="1">
      <c r="A18" s="68" t="s">
        <v>118</v>
      </c>
      <c r="B18" s="69" t="s">
        <v>462</v>
      </c>
      <c r="C18" s="69" t="s">
        <v>461</v>
      </c>
      <c r="D18" s="70">
        <v>8.4819999999999993</v>
      </c>
      <c r="E18" s="70">
        <v>4.6520000000000001</v>
      </c>
      <c r="F18" s="71">
        <v>2.7559999999999998</v>
      </c>
      <c r="G18" s="71">
        <v>4</v>
      </c>
      <c r="H18" s="71">
        <v>4</v>
      </c>
      <c r="I18" s="71">
        <v>4</v>
      </c>
      <c r="J18" s="71">
        <v>4</v>
      </c>
      <c r="K18" s="71">
        <v>4</v>
      </c>
      <c r="L18" s="67"/>
    </row>
    <row r="19" spans="1:12" ht="15.75" thickBot="1">
      <c r="A19" s="68" t="s">
        <v>123</v>
      </c>
      <c r="B19" s="69" t="s">
        <v>460</v>
      </c>
      <c r="C19" s="69" t="s">
        <v>461</v>
      </c>
      <c r="D19" s="70">
        <v>2.508</v>
      </c>
      <c r="E19" s="70">
        <v>2.14</v>
      </c>
      <c r="F19" s="71">
        <v>3.3050000000000002</v>
      </c>
      <c r="G19" s="71">
        <v>2.9990000000000001</v>
      </c>
      <c r="H19" s="71">
        <v>3.2480000000000002</v>
      </c>
      <c r="I19" s="71">
        <v>3.3149999999999999</v>
      </c>
      <c r="J19" s="71">
        <v>3.2</v>
      </c>
      <c r="K19" s="71">
        <v>3.16</v>
      </c>
      <c r="L19" s="67"/>
    </row>
    <row r="20" spans="1:12" ht="15.75" thickBot="1">
      <c r="A20" s="68" t="s">
        <v>123</v>
      </c>
      <c r="B20" s="69" t="s">
        <v>462</v>
      </c>
      <c r="C20" s="69" t="s">
        <v>461</v>
      </c>
      <c r="D20" s="70">
        <v>2.6549999999999998</v>
      </c>
      <c r="E20" s="70">
        <v>3.1030000000000002</v>
      </c>
      <c r="F20" s="71">
        <v>3.3420000000000001</v>
      </c>
      <c r="G20" s="71">
        <v>1.0029999999999999</v>
      </c>
      <c r="H20" s="71">
        <v>3.31</v>
      </c>
      <c r="I20" s="71">
        <v>2.34</v>
      </c>
      <c r="J20" s="71">
        <v>2.5129999999999999</v>
      </c>
      <c r="K20" s="71">
        <v>2.4220000000000002</v>
      </c>
      <c r="L20" s="67"/>
    </row>
    <row r="21" spans="1:12" ht="15.75" thickBot="1">
      <c r="A21" s="68" t="s">
        <v>131</v>
      </c>
      <c r="B21" s="69" t="s">
        <v>460</v>
      </c>
      <c r="C21" s="69" t="s">
        <v>461</v>
      </c>
      <c r="D21" s="70">
        <v>2.0510000000000002</v>
      </c>
      <c r="E21" s="70">
        <v>2.6960000000000002</v>
      </c>
      <c r="F21" s="71">
        <v>0.92300000000000004</v>
      </c>
      <c r="G21" s="71">
        <v>1.0580000000000001</v>
      </c>
      <c r="H21" s="71">
        <v>2.0179999999999998</v>
      </c>
      <c r="I21" s="71">
        <v>2.09</v>
      </c>
      <c r="J21" s="71">
        <v>1.94</v>
      </c>
      <c r="K21" s="71">
        <v>1.587</v>
      </c>
      <c r="L21" s="67"/>
    </row>
    <row r="22" spans="1:12" ht="15.75" thickBot="1">
      <c r="A22" s="68" t="s">
        <v>131</v>
      </c>
      <c r="B22" s="69" t="s">
        <v>462</v>
      </c>
      <c r="C22" s="69" t="s">
        <v>461</v>
      </c>
      <c r="D22" s="70">
        <v>2.1739999999999999</v>
      </c>
      <c r="E22" s="70">
        <v>3.399</v>
      </c>
      <c r="F22" s="71">
        <v>1.9</v>
      </c>
      <c r="G22" s="71">
        <v>1.9</v>
      </c>
      <c r="H22" s="71">
        <v>1.9</v>
      </c>
      <c r="I22" s="71">
        <v>1.9</v>
      </c>
      <c r="J22" s="71">
        <v>1.9</v>
      </c>
      <c r="K22" s="71">
        <v>1.9</v>
      </c>
      <c r="L22" s="67"/>
    </row>
    <row r="23" spans="1:12" ht="15.75" thickBot="1">
      <c r="A23" s="68" t="s">
        <v>136</v>
      </c>
      <c r="B23" s="69" t="s">
        <v>460</v>
      </c>
      <c r="C23" s="69" t="s">
        <v>461</v>
      </c>
      <c r="D23" s="70">
        <v>4.9589999999999996</v>
      </c>
      <c r="E23" s="70">
        <v>9.4E-2</v>
      </c>
      <c r="F23" s="71">
        <v>3.887</v>
      </c>
      <c r="G23" s="71">
        <v>2.738</v>
      </c>
      <c r="H23" s="71">
        <v>2.879</v>
      </c>
      <c r="I23" s="71">
        <v>2.9510000000000001</v>
      </c>
      <c r="J23" s="71">
        <v>2.996</v>
      </c>
      <c r="K23" s="71">
        <v>3.1030000000000002</v>
      </c>
      <c r="L23" s="67"/>
    </row>
    <row r="24" spans="1:12" ht="15.75" thickBot="1">
      <c r="A24" s="68" t="s">
        <v>136</v>
      </c>
      <c r="B24" s="69" t="s">
        <v>462</v>
      </c>
      <c r="C24" s="69" t="s">
        <v>461</v>
      </c>
      <c r="D24" s="70">
        <v>7.8810000000000002</v>
      </c>
      <c r="E24" s="70">
        <v>5.55</v>
      </c>
      <c r="F24" s="71">
        <v>6.5</v>
      </c>
      <c r="G24" s="71">
        <v>5.5</v>
      </c>
      <c r="H24" s="71">
        <v>5.5</v>
      </c>
      <c r="I24" s="71">
        <v>5.5</v>
      </c>
      <c r="J24" s="71">
        <v>5</v>
      </c>
      <c r="K24" s="71">
        <v>5</v>
      </c>
      <c r="L24" s="67"/>
    </row>
    <row r="25" spans="1:12" ht="15.75" thickBot="1">
      <c r="A25" s="68" t="s">
        <v>465</v>
      </c>
      <c r="B25" s="69" t="s">
        <v>460</v>
      </c>
      <c r="C25" s="69" t="s">
        <v>461</v>
      </c>
      <c r="D25" s="70">
        <v>0.17899999999999999</v>
      </c>
      <c r="E25" s="70">
        <v>1.629</v>
      </c>
      <c r="F25" s="71">
        <v>2.5</v>
      </c>
      <c r="G25" s="71">
        <v>2.7</v>
      </c>
      <c r="H25" s="71">
        <v>2.3279999999999998</v>
      </c>
      <c r="I25" s="71">
        <v>2.5</v>
      </c>
      <c r="J25" s="71">
        <v>2.7</v>
      </c>
      <c r="K25" s="71">
        <v>2.5</v>
      </c>
      <c r="L25" s="67"/>
    </row>
    <row r="26" spans="1:12" ht="15.75" thickBot="1">
      <c r="A26" s="68" t="s">
        <v>465</v>
      </c>
      <c r="B26" s="69" t="s">
        <v>462</v>
      </c>
      <c r="C26" s="69" t="s">
        <v>461</v>
      </c>
      <c r="D26" s="70">
        <v>1.552</v>
      </c>
      <c r="E26" s="70">
        <v>4</v>
      </c>
      <c r="F26" s="71">
        <v>1.5</v>
      </c>
      <c r="G26" s="71">
        <v>1.9690000000000001</v>
      </c>
      <c r="H26" s="71">
        <v>2.0139999999999998</v>
      </c>
      <c r="I26" s="71">
        <v>2.0139999999999998</v>
      </c>
      <c r="J26" s="71">
        <v>2.0139999999999998</v>
      </c>
      <c r="K26" s="71">
        <v>2.0139999999999998</v>
      </c>
      <c r="L26" s="67"/>
    </row>
    <row r="27" spans="1:12" ht="15.75" thickBot="1">
      <c r="A27" s="68" t="s">
        <v>147</v>
      </c>
      <c r="B27" s="69" t="s">
        <v>460</v>
      </c>
      <c r="C27" s="69" t="s">
        <v>461</v>
      </c>
      <c r="D27" s="70">
        <v>4.742</v>
      </c>
      <c r="E27" s="70">
        <v>2.1019999999999999</v>
      </c>
      <c r="F27" s="71">
        <v>1.984</v>
      </c>
      <c r="G27" s="71">
        <v>2.819</v>
      </c>
      <c r="H27" s="71">
        <v>2.59</v>
      </c>
      <c r="I27" s="71">
        <v>2.6309999999999998</v>
      </c>
      <c r="J27" s="71">
        <v>2.8639999999999999</v>
      </c>
      <c r="K27" s="71">
        <v>2.8490000000000002</v>
      </c>
      <c r="L27" s="67"/>
    </row>
    <row r="28" spans="1:12" ht="15.75" thickBot="1">
      <c r="A28" s="68" t="s">
        <v>147</v>
      </c>
      <c r="B28" s="69" t="s">
        <v>462</v>
      </c>
      <c r="C28" s="69" t="s">
        <v>461</v>
      </c>
      <c r="D28" s="70">
        <v>0.99</v>
      </c>
      <c r="E28" s="70">
        <v>0.17799999999999999</v>
      </c>
      <c r="F28" s="71">
        <v>3</v>
      </c>
      <c r="G28" s="71">
        <v>2</v>
      </c>
      <c r="H28" s="71">
        <v>2</v>
      </c>
      <c r="I28" s="71">
        <v>2</v>
      </c>
      <c r="J28" s="71">
        <v>2</v>
      </c>
      <c r="K28" s="71">
        <v>2</v>
      </c>
      <c r="L28" s="67"/>
    </row>
    <row r="29" spans="1:12" ht="15.75" thickBot="1">
      <c r="A29" s="68" t="s">
        <v>152</v>
      </c>
      <c r="B29" s="69" t="s">
        <v>460</v>
      </c>
      <c r="C29" s="69" t="s">
        <v>461</v>
      </c>
      <c r="D29" s="70">
        <v>6.3979999999999997</v>
      </c>
      <c r="E29" s="70">
        <v>6.5069999999999997</v>
      </c>
      <c r="F29" s="71">
        <v>6.0510000000000002</v>
      </c>
      <c r="G29" s="71">
        <v>6.1079999999999997</v>
      </c>
      <c r="H29" s="71">
        <v>6.7089999999999996</v>
      </c>
      <c r="I29" s="71">
        <v>7.0519999999999996</v>
      </c>
      <c r="J29" s="71">
        <v>7.1520000000000001</v>
      </c>
      <c r="K29" s="71">
        <v>7.2519999999999998</v>
      </c>
      <c r="L29" s="67"/>
    </row>
    <row r="30" spans="1:12" ht="15.75" thickBot="1">
      <c r="A30" s="68" t="s">
        <v>152</v>
      </c>
      <c r="B30" s="69" t="s">
        <v>462</v>
      </c>
      <c r="C30" s="69" t="s">
        <v>461</v>
      </c>
      <c r="D30" s="70">
        <v>8.2850000000000001</v>
      </c>
      <c r="E30" s="70">
        <v>10.629</v>
      </c>
      <c r="F30" s="71">
        <v>6.8979999999999997</v>
      </c>
      <c r="G30" s="71">
        <v>6.4470000000000001</v>
      </c>
      <c r="H30" s="71">
        <v>6.1429999999999998</v>
      </c>
      <c r="I30" s="71">
        <v>5.6630000000000003</v>
      </c>
      <c r="J30" s="71">
        <v>5.5</v>
      </c>
      <c r="K30" s="71">
        <v>5.5</v>
      </c>
      <c r="L30" s="67"/>
    </row>
    <row r="31" spans="1:12" ht="15.75" thickBot="1">
      <c r="A31" s="68" t="s">
        <v>154</v>
      </c>
      <c r="B31" s="69" t="s">
        <v>460</v>
      </c>
      <c r="C31" s="69" t="s">
        <v>461</v>
      </c>
      <c r="D31" s="70">
        <v>0.23499999999999999</v>
      </c>
      <c r="E31" s="70">
        <v>0.56200000000000006</v>
      </c>
      <c r="F31" s="71">
        <v>0.7</v>
      </c>
      <c r="G31" s="71">
        <v>1</v>
      </c>
      <c r="H31" s="71">
        <v>1.5</v>
      </c>
      <c r="I31" s="71">
        <v>2</v>
      </c>
      <c r="J31" s="71">
        <v>2.2000000000000002</v>
      </c>
      <c r="K31" s="71">
        <v>2.5</v>
      </c>
      <c r="L31" s="67"/>
    </row>
    <row r="32" spans="1:12" ht="15.75" thickBot="1">
      <c r="A32" s="68" t="s">
        <v>154</v>
      </c>
      <c r="B32" s="69" t="s">
        <v>462</v>
      </c>
      <c r="C32" s="69" t="s">
        <v>461</v>
      </c>
      <c r="D32" s="70">
        <v>6.5540000000000003</v>
      </c>
      <c r="E32" s="70">
        <v>9.5410000000000004</v>
      </c>
      <c r="F32" s="71">
        <v>6.4370000000000003</v>
      </c>
      <c r="G32" s="71">
        <v>4.4790000000000001</v>
      </c>
      <c r="H32" s="71">
        <v>4.4610000000000003</v>
      </c>
      <c r="I32" s="71">
        <v>4.5369999999999999</v>
      </c>
      <c r="J32" s="71">
        <v>4.476</v>
      </c>
      <c r="K32" s="71">
        <v>4.5380000000000003</v>
      </c>
      <c r="L32" s="67"/>
    </row>
    <row r="33" spans="1:12" ht="15.75" thickBot="1">
      <c r="A33" s="68" t="s">
        <v>155</v>
      </c>
      <c r="B33" s="69" t="s">
        <v>460</v>
      </c>
      <c r="C33" s="69" t="s">
        <v>461</v>
      </c>
      <c r="D33" s="70">
        <v>7.7409999999999997</v>
      </c>
      <c r="E33" s="71">
        <v>5.3440000000000003</v>
      </c>
      <c r="F33" s="71">
        <v>4.2949999999999999</v>
      </c>
      <c r="G33" s="71">
        <v>3.3679999999999999</v>
      </c>
      <c r="H33" s="71">
        <v>3.8</v>
      </c>
      <c r="I33" s="71">
        <v>4.0839999999999996</v>
      </c>
      <c r="J33" s="71">
        <v>4.117</v>
      </c>
      <c r="K33" s="71">
        <v>4.133</v>
      </c>
      <c r="L33" s="67"/>
    </row>
    <row r="34" spans="1:12" ht="15.75" thickBot="1">
      <c r="A34" s="68" t="s">
        <v>155</v>
      </c>
      <c r="B34" s="69" t="s">
        <v>462</v>
      </c>
      <c r="C34" s="69" t="s">
        <v>461</v>
      </c>
      <c r="D34" s="70">
        <v>9.9269999999999996</v>
      </c>
      <c r="E34" s="70">
        <v>108.68600000000001</v>
      </c>
      <c r="F34" s="71">
        <v>27.599</v>
      </c>
      <c r="G34" s="71">
        <v>29.812000000000001</v>
      </c>
      <c r="H34" s="71">
        <v>26.149000000000001</v>
      </c>
      <c r="I34" s="71">
        <v>23.451000000000001</v>
      </c>
      <c r="J34" s="71">
        <v>20.413</v>
      </c>
      <c r="K34" s="71">
        <v>15.773999999999999</v>
      </c>
      <c r="L34" s="67"/>
    </row>
    <row r="35" spans="1:12" ht="15.75" thickBot="1">
      <c r="A35" s="68" t="s">
        <v>156</v>
      </c>
      <c r="B35" s="69" t="s">
        <v>460</v>
      </c>
      <c r="C35" s="69" t="s">
        <v>461</v>
      </c>
      <c r="D35" s="70">
        <v>2.4209999999999998</v>
      </c>
      <c r="E35" s="70">
        <v>1.784</v>
      </c>
      <c r="F35" s="71">
        <v>3.6999999999999998E-2</v>
      </c>
      <c r="G35" s="71">
        <v>0.34</v>
      </c>
      <c r="H35" s="71">
        <v>0.95199999999999996</v>
      </c>
      <c r="I35" s="71">
        <v>1.3220000000000001</v>
      </c>
      <c r="J35" s="71">
        <v>1.452</v>
      </c>
      <c r="K35" s="71">
        <v>1.47</v>
      </c>
      <c r="L35" s="67"/>
    </row>
    <row r="36" spans="1:12" ht="15.75" thickBot="1">
      <c r="A36" s="68" t="s">
        <v>156</v>
      </c>
      <c r="B36" s="69" t="s">
        <v>462</v>
      </c>
      <c r="C36" s="69" t="s">
        <v>461</v>
      </c>
      <c r="D36" s="70">
        <v>3.38</v>
      </c>
      <c r="E36" s="70">
        <v>3.2080000000000002</v>
      </c>
      <c r="F36" s="71">
        <v>2.649</v>
      </c>
      <c r="G36" s="71">
        <v>1.524</v>
      </c>
      <c r="H36" s="71">
        <v>1.2689999999999999</v>
      </c>
      <c r="I36" s="71">
        <v>1.228</v>
      </c>
      <c r="J36" s="71">
        <v>1.2709999999999999</v>
      </c>
      <c r="K36" s="71">
        <v>1.204</v>
      </c>
      <c r="L36" s="67"/>
    </row>
    <row r="37" spans="1:12" ht="15.75" thickBot="1">
      <c r="A37" s="68" t="s">
        <v>163</v>
      </c>
      <c r="B37" s="69" t="s">
        <v>460</v>
      </c>
      <c r="C37" s="69" t="s">
        <v>461</v>
      </c>
      <c r="D37" s="70">
        <v>2.74</v>
      </c>
      <c r="E37" s="70">
        <v>1.958</v>
      </c>
      <c r="F37" s="71">
        <v>2.286</v>
      </c>
      <c r="G37" s="71">
        <v>2.5</v>
      </c>
      <c r="H37" s="71">
        <v>2.5</v>
      </c>
      <c r="I37" s="71">
        <v>2.5</v>
      </c>
      <c r="J37" s="71">
        <v>2.5</v>
      </c>
      <c r="K37" s="71">
        <v>2.5</v>
      </c>
      <c r="L37" s="67"/>
    </row>
    <row r="38" spans="1:12" ht="15.75" thickBot="1">
      <c r="A38" s="68" t="s">
        <v>163</v>
      </c>
      <c r="B38" s="69" t="s">
        <v>462</v>
      </c>
      <c r="C38" s="69" t="s">
        <v>461</v>
      </c>
      <c r="D38" s="70">
        <v>-7.0000000000000001E-3</v>
      </c>
      <c r="E38" s="70">
        <v>2.4620000000000002</v>
      </c>
      <c r="F38" s="71">
        <v>1.9039999999999999</v>
      </c>
      <c r="G38" s="71">
        <v>2.5</v>
      </c>
      <c r="H38" s="71">
        <v>2.5</v>
      </c>
      <c r="I38" s="71">
        <v>2.5</v>
      </c>
      <c r="J38" s="71">
        <v>2.5</v>
      </c>
      <c r="K38" s="71">
        <v>2.5</v>
      </c>
      <c r="L38" s="67"/>
    </row>
    <row r="39" spans="1:12" ht="15.75" thickBot="1">
      <c r="A39" s="68" t="s">
        <v>466</v>
      </c>
      <c r="B39" s="69" t="s">
        <v>460</v>
      </c>
      <c r="C39" s="69" t="s">
        <v>461</v>
      </c>
      <c r="D39" s="70">
        <v>2.552</v>
      </c>
      <c r="E39" s="71">
        <v>3.5310000000000001</v>
      </c>
      <c r="F39" s="71">
        <v>3.4670000000000001</v>
      </c>
      <c r="G39" s="71">
        <v>3.8029999999999999</v>
      </c>
      <c r="H39" s="71">
        <v>4.1029999999999998</v>
      </c>
      <c r="I39" s="71">
        <v>4.3029999999999999</v>
      </c>
      <c r="J39" s="71">
        <v>4.5049999999999999</v>
      </c>
      <c r="K39" s="71">
        <v>4.5030000000000001</v>
      </c>
      <c r="L39" s="67"/>
    </row>
    <row r="40" spans="1:12" ht="15.75" thickBot="1">
      <c r="A40" s="68" t="s">
        <v>466</v>
      </c>
      <c r="B40" s="69" t="s">
        <v>462</v>
      </c>
      <c r="C40" s="69" t="s">
        <v>461</v>
      </c>
      <c r="D40" s="70">
        <v>4.0199999999999996</v>
      </c>
      <c r="E40" s="71">
        <v>1.806</v>
      </c>
      <c r="F40" s="71">
        <v>7.25</v>
      </c>
      <c r="G40" s="71">
        <v>3.3</v>
      </c>
      <c r="H40" s="71">
        <v>3.1</v>
      </c>
      <c r="I40" s="71">
        <v>3</v>
      </c>
      <c r="J40" s="71">
        <v>2.8</v>
      </c>
      <c r="K40" s="71">
        <v>2.8</v>
      </c>
      <c r="L40" s="67"/>
    </row>
    <row r="41" spans="1:12" ht="15.75" thickBot="1">
      <c r="A41" s="68" t="s">
        <v>467</v>
      </c>
      <c r="B41" s="69" t="s">
        <v>460</v>
      </c>
      <c r="C41" s="69" t="s">
        <v>461</v>
      </c>
      <c r="D41" s="71">
        <v>11.8</v>
      </c>
      <c r="E41" s="71">
        <v>5.2679999999999998</v>
      </c>
      <c r="F41" s="71">
        <v>9.9139999999999997</v>
      </c>
      <c r="G41" s="71">
        <v>13.512</v>
      </c>
      <c r="H41" s="71">
        <v>8.8170000000000002</v>
      </c>
      <c r="I41" s="71">
        <v>9.5039999999999996</v>
      </c>
      <c r="J41" s="71">
        <v>15.084</v>
      </c>
      <c r="K41" s="71">
        <v>10.68</v>
      </c>
      <c r="L41" s="67"/>
    </row>
    <row r="42" spans="1:12" ht="15.75" thickBot="1">
      <c r="A42" s="68" t="s">
        <v>467</v>
      </c>
      <c r="B42" s="69" t="s">
        <v>462</v>
      </c>
      <c r="C42" s="69" t="s">
        <v>461</v>
      </c>
      <c r="D42" s="71">
        <v>9.0990000000000002</v>
      </c>
      <c r="E42" s="71">
        <v>6.4859999999999998</v>
      </c>
      <c r="F42" s="71">
        <v>10.537000000000001</v>
      </c>
      <c r="G42" s="71">
        <v>6.7080000000000002</v>
      </c>
      <c r="H42" s="71">
        <v>6.4210000000000003</v>
      </c>
      <c r="I42" s="71">
        <v>6.4210000000000003</v>
      </c>
      <c r="J42" s="71">
        <v>6.4210000000000003</v>
      </c>
      <c r="K42" s="71">
        <v>6.4450000000000003</v>
      </c>
      <c r="L42" s="67"/>
    </row>
    <row r="43" spans="1:12" ht="15.75" thickBot="1">
      <c r="A43" s="68" t="s">
        <v>173</v>
      </c>
      <c r="B43" s="69" t="s">
        <v>460</v>
      </c>
      <c r="C43" s="69" t="s">
        <v>461</v>
      </c>
      <c r="D43" s="71">
        <v>4.1269999999999998</v>
      </c>
      <c r="E43" s="71">
        <v>5.1740000000000004</v>
      </c>
      <c r="F43" s="71">
        <v>5</v>
      </c>
      <c r="G43" s="71">
        <v>5</v>
      </c>
      <c r="H43" s="71">
        <v>5</v>
      </c>
      <c r="I43" s="71">
        <v>5</v>
      </c>
      <c r="J43" s="71">
        <v>5</v>
      </c>
      <c r="K43" s="71">
        <v>5</v>
      </c>
      <c r="L43" s="67"/>
    </row>
    <row r="44" spans="1:12" ht="15.75" thickBot="1">
      <c r="A44" s="68" t="s">
        <v>173</v>
      </c>
      <c r="B44" s="69" t="s">
        <v>462</v>
      </c>
      <c r="C44" s="69" t="s">
        <v>461</v>
      </c>
      <c r="D44" s="71">
        <v>7.1820000000000004</v>
      </c>
      <c r="E44" s="71">
        <v>6.9039999999999999</v>
      </c>
      <c r="F44" s="71">
        <v>5.0149999999999997</v>
      </c>
      <c r="G44" s="71">
        <v>4.5419999999999998</v>
      </c>
      <c r="H44" s="71">
        <v>4.157</v>
      </c>
      <c r="I44" s="71">
        <v>3.97</v>
      </c>
      <c r="J44" s="71">
        <v>4.0330000000000004</v>
      </c>
      <c r="K44" s="71">
        <v>4.0330000000000004</v>
      </c>
      <c r="L44" s="67"/>
    </row>
    <row r="45" spans="1:12" ht="15.75" thickBot="1">
      <c r="A45" s="68" t="s">
        <v>174</v>
      </c>
      <c r="B45" s="69" t="s">
        <v>460</v>
      </c>
      <c r="C45" s="69" t="s">
        <v>461</v>
      </c>
      <c r="D45" s="70">
        <v>0.72199999999999998</v>
      </c>
      <c r="E45" s="71">
        <v>1.264</v>
      </c>
      <c r="F45" s="71">
        <v>0</v>
      </c>
      <c r="G45" s="71">
        <v>1</v>
      </c>
      <c r="H45" s="71">
        <v>2.5</v>
      </c>
      <c r="I45" s="71">
        <v>3.5</v>
      </c>
      <c r="J45" s="71">
        <v>4</v>
      </c>
      <c r="K45" s="71">
        <v>4</v>
      </c>
      <c r="L45" s="67"/>
    </row>
    <row r="46" spans="1:12" ht="15.75" thickBot="1">
      <c r="A46" s="68" t="s">
        <v>174</v>
      </c>
      <c r="B46" s="69" t="s">
        <v>462</v>
      </c>
      <c r="C46" s="69" t="s">
        <v>461</v>
      </c>
      <c r="D46" s="70">
        <v>3.0760000000000001</v>
      </c>
      <c r="E46" s="70">
        <v>2.7320000000000002</v>
      </c>
      <c r="F46" s="71">
        <v>2.2000000000000002</v>
      </c>
      <c r="G46" s="71">
        <v>2.1</v>
      </c>
      <c r="H46" s="71">
        <v>2.2000000000000002</v>
      </c>
      <c r="I46" s="71">
        <v>2.4</v>
      </c>
      <c r="J46" s="71">
        <v>2.4</v>
      </c>
      <c r="K46" s="71">
        <v>2.4</v>
      </c>
      <c r="L46" s="67"/>
    </row>
    <row r="47" spans="1:12" ht="15.75" thickBot="1">
      <c r="A47" s="68" t="s">
        <v>175</v>
      </c>
      <c r="B47" s="69" t="s">
        <v>460</v>
      </c>
      <c r="C47" s="69" t="s">
        <v>461</v>
      </c>
      <c r="D47" s="70">
        <v>7.0149999999999997</v>
      </c>
      <c r="E47" s="71">
        <v>5.0880000000000001</v>
      </c>
      <c r="F47" s="71">
        <v>3.819</v>
      </c>
      <c r="G47" s="71">
        <v>4.1420000000000003</v>
      </c>
      <c r="H47" s="71">
        <v>4.1909999999999998</v>
      </c>
      <c r="I47" s="71">
        <v>4.3319999999999999</v>
      </c>
      <c r="J47" s="71">
        <v>4.359</v>
      </c>
      <c r="K47" s="71">
        <v>4.657</v>
      </c>
      <c r="L47" s="67"/>
    </row>
    <row r="48" spans="1:12" ht="15.75" thickBot="1">
      <c r="A48" s="68" t="s">
        <v>175</v>
      </c>
      <c r="B48" s="69" t="s">
        <v>462</v>
      </c>
      <c r="C48" s="69" t="s">
        <v>461</v>
      </c>
      <c r="D48" s="70">
        <v>7.41</v>
      </c>
      <c r="E48" s="71">
        <v>9.1750000000000007</v>
      </c>
      <c r="F48" s="71">
        <v>6.45</v>
      </c>
      <c r="G48" s="71">
        <v>6.05</v>
      </c>
      <c r="H48" s="71">
        <v>5.75</v>
      </c>
      <c r="I48" s="71">
        <v>5.55</v>
      </c>
      <c r="J48" s="71">
        <v>5.45</v>
      </c>
      <c r="K48" s="71">
        <v>5.45</v>
      </c>
      <c r="L48" s="67"/>
    </row>
    <row r="49" spans="1:12" ht="15.75" thickBot="1">
      <c r="A49" s="68" t="s">
        <v>179</v>
      </c>
      <c r="B49" s="69" t="s">
        <v>460</v>
      </c>
      <c r="C49" s="69" t="s">
        <v>461</v>
      </c>
      <c r="D49" s="70">
        <v>7.5339999999999998</v>
      </c>
      <c r="E49" s="70">
        <v>2.7330000000000001</v>
      </c>
      <c r="F49" s="71">
        <v>1.474</v>
      </c>
      <c r="G49" s="71">
        <v>3.952</v>
      </c>
      <c r="H49" s="71">
        <v>4.1970000000000001</v>
      </c>
      <c r="I49" s="71">
        <v>4.2030000000000003</v>
      </c>
      <c r="J49" s="71">
        <v>4.109</v>
      </c>
      <c r="K49" s="71">
        <v>4.1379999999999999</v>
      </c>
      <c r="L49" s="67"/>
    </row>
    <row r="50" spans="1:12" ht="15.75" thickBot="1">
      <c r="A50" s="68" t="s">
        <v>179</v>
      </c>
      <c r="B50" s="69" t="s">
        <v>462</v>
      </c>
      <c r="C50" s="69" t="s">
        <v>461</v>
      </c>
      <c r="D50" s="70">
        <v>5.9089999999999998</v>
      </c>
      <c r="E50" s="70">
        <v>6.5030000000000001</v>
      </c>
      <c r="F50" s="71">
        <v>4.968</v>
      </c>
      <c r="G50" s="71">
        <v>5.0949999999999998</v>
      </c>
      <c r="H50" s="71">
        <v>4.5</v>
      </c>
      <c r="I50" s="71">
        <v>4.5</v>
      </c>
      <c r="J50" s="71">
        <v>4.5</v>
      </c>
      <c r="K50" s="71">
        <v>4.5</v>
      </c>
      <c r="L50" s="67"/>
    </row>
    <row r="51" spans="1:12" ht="15.75" thickBot="1">
      <c r="A51" s="68" t="s">
        <v>468</v>
      </c>
      <c r="B51" s="69" t="s">
        <v>460</v>
      </c>
      <c r="C51" s="69" t="s">
        <v>461</v>
      </c>
      <c r="D51" s="70">
        <v>2.5979999999999999</v>
      </c>
      <c r="E51" s="70">
        <v>2.2090000000000001</v>
      </c>
      <c r="F51" s="71">
        <v>2.661</v>
      </c>
      <c r="G51" s="71">
        <v>1.5389999999999999</v>
      </c>
      <c r="H51" s="71">
        <v>4.9420000000000002</v>
      </c>
      <c r="I51" s="71">
        <v>3.3170000000000002</v>
      </c>
      <c r="J51" s="71">
        <v>4.0940000000000003</v>
      </c>
      <c r="K51" s="71">
        <v>3.5920000000000001</v>
      </c>
      <c r="L51" s="67"/>
    </row>
    <row r="52" spans="1:12" ht="15.75" thickBot="1">
      <c r="A52" s="68" t="s">
        <v>468</v>
      </c>
      <c r="B52" s="69" t="s">
        <v>462</v>
      </c>
      <c r="C52" s="69" t="s">
        <v>461</v>
      </c>
      <c r="D52" s="70">
        <v>0.86099999999999999</v>
      </c>
      <c r="E52" s="70">
        <v>1.8029999999999999</v>
      </c>
      <c r="F52" s="71">
        <v>1.617</v>
      </c>
      <c r="G52" s="71">
        <v>1.419</v>
      </c>
      <c r="H52" s="71">
        <v>1.365</v>
      </c>
      <c r="I52" s="71">
        <v>1.3380000000000001</v>
      </c>
      <c r="J52" s="71">
        <v>1.331</v>
      </c>
      <c r="K52" s="71">
        <v>1.3380000000000001</v>
      </c>
      <c r="L52" s="67"/>
    </row>
    <row r="53" spans="1:12" ht="15.75" thickBot="1">
      <c r="A53" s="68" t="s">
        <v>187</v>
      </c>
      <c r="B53" s="69" t="s">
        <v>460</v>
      </c>
      <c r="C53" s="69" t="s">
        <v>461</v>
      </c>
      <c r="D53" s="70">
        <v>0.39300000000000002</v>
      </c>
      <c r="E53" s="70">
        <v>1.669</v>
      </c>
      <c r="F53" s="71">
        <v>1</v>
      </c>
      <c r="G53" s="71">
        <v>1.5</v>
      </c>
      <c r="H53" s="71">
        <v>2.5</v>
      </c>
      <c r="I53" s="71">
        <v>3.5</v>
      </c>
      <c r="J53" s="71">
        <v>4.5</v>
      </c>
      <c r="K53" s="71">
        <v>4.5</v>
      </c>
      <c r="L53" s="67"/>
    </row>
    <row r="54" spans="1:12" ht="15.75" thickBot="1">
      <c r="A54" s="68" t="s">
        <v>187</v>
      </c>
      <c r="B54" s="69" t="s">
        <v>462</v>
      </c>
      <c r="C54" s="69" t="s">
        <v>461</v>
      </c>
      <c r="D54" s="70">
        <v>4.4459999999999997</v>
      </c>
      <c r="E54" s="70">
        <v>2.0459999999999998</v>
      </c>
      <c r="F54" s="71">
        <v>2.14</v>
      </c>
      <c r="G54" s="71">
        <v>2.5</v>
      </c>
      <c r="H54" s="71">
        <v>3</v>
      </c>
      <c r="I54" s="71">
        <v>3</v>
      </c>
      <c r="J54" s="71">
        <v>3</v>
      </c>
      <c r="K54" s="71">
        <v>3</v>
      </c>
      <c r="L54" s="67"/>
    </row>
    <row r="55" spans="1:12" ht="15.75" thickBot="1">
      <c r="A55" s="68" t="s">
        <v>469</v>
      </c>
      <c r="B55" s="69" t="s">
        <v>460</v>
      </c>
      <c r="C55" s="69" t="s">
        <v>461</v>
      </c>
      <c r="D55" s="70">
        <v>7.8860000000000001</v>
      </c>
      <c r="E55" s="71">
        <v>4.1630000000000003</v>
      </c>
      <c r="F55" s="71">
        <v>6.9939999999999998</v>
      </c>
      <c r="G55" s="71">
        <v>7.0110000000000001</v>
      </c>
      <c r="H55" s="71">
        <v>7</v>
      </c>
      <c r="I55" s="71">
        <v>7</v>
      </c>
      <c r="J55" s="71">
        <v>6.9</v>
      </c>
      <c r="K55" s="71">
        <v>6.8</v>
      </c>
      <c r="L55" s="67"/>
    </row>
    <row r="56" spans="1:12" ht="15.75" thickBot="1">
      <c r="A56" s="68" t="s">
        <v>469</v>
      </c>
      <c r="B56" s="69" t="s">
        <v>462</v>
      </c>
      <c r="C56" s="69" t="s">
        <v>461</v>
      </c>
      <c r="D56" s="70">
        <v>-0.26100000000000001</v>
      </c>
      <c r="E56" s="71">
        <v>5.09</v>
      </c>
      <c r="F56" s="71">
        <v>2.9950000000000001</v>
      </c>
      <c r="G56" s="71">
        <v>2</v>
      </c>
      <c r="H56" s="71">
        <v>2</v>
      </c>
      <c r="I56" s="71">
        <v>2</v>
      </c>
      <c r="J56" s="71">
        <v>2</v>
      </c>
      <c r="K56" s="71">
        <v>2</v>
      </c>
      <c r="L56" s="67"/>
    </row>
    <row r="57" spans="1:12" ht="15.75" thickBot="1">
      <c r="A57" s="68" t="s">
        <v>470</v>
      </c>
      <c r="B57" s="69" t="s">
        <v>460</v>
      </c>
      <c r="C57" s="69" t="s">
        <v>461</v>
      </c>
      <c r="D57" s="71">
        <v>3.786</v>
      </c>
      <c r="E57" s="71">
        <v>4.1920000000000002</v>
      </c>
      <c r="F57" s="71">
        <v>4.1959999999999997</v>
      </c>
      <c r="G57" s="71">
        <v>4.4509999999999996</v>
      </c>
      <c r="H57" s="71">
        <v>5.0720000000000001</v>
      </c>
      <c r="I57" s="71">
        <v>5.4640000000000004</v>
      </c>
      <c r="J57" s="71">
        <v>5.665</v>
      </c>
      <c r="K57" s="71">
        <v>5.8780000000000001</v>
      </c>
      <c r="L57" s="67"/>
    </row>
    <row r="58" spans="1:12" ht="15.75" thickBot="1">
      <c r="A58" s="68" t="s">
        <v>470</v>
      </c>
      <c r="B58" s="69" t="s">
        <v>462</v>
      </c>
      <c r="C58" s="69" t="s">
        <v>461</v>
      </c>
      <c r="D58" s="71">
        <v>4.09</v>
      </c>
      <c r="E58" s="71">
        <v>14.891999999999999</v>
      </c>
      <c r="F58" s="71">
        <v>14.651</v>
      </c>
      <c r="G58" s="71">
        <v>8.4</v>
      </c>
      <c r="H58" s="71">
        <v>6.1159999999999997</v>
      </c>
      <c r="I58" s="71">
        <v>6.3529999999999998</v>
      </c>
      <c r="J58" s="71">
        <v>5.1109999999999998</v>
      </c>
      <c r="K58" s="71">
        <v>5.476</v>
      </c>
      <c r="L58" s="67"/>
    </row>
    <row r="59" spans="1:12" ht="15.75" thickBot="1">
      <c r="A59" s="68" t="s">
        <v>191</v>
      </c>
      <c r="B59" s="69" t="s">
        <v>460</v>
      </c>
      <c r="C59" s="69" t="s">
        <v>461</v>
      </c>
      <c r="D59" s="70">
        <v>6.0960000000000001</v>
      </c>
      <c r="E59" s="70">
        <v>7.0789999999999997</v>
      </c>
      <c r="F59" s="71">
        <v>6.4509999999999996</v>
      </c>
      <c r="G59" s="71">
        <v>6.6749999999999998</v>
      </c>
      <c r="H59" s="71">
        <v>7.2370000000000001</v>
      </c>
      <c r="I59" s="71">
        <v>7.3970000000000002</v>
      </c>
      <c r="J59" s="71">
        <v>7.56</v>
      </c>
      <c r="K59" s="71">
        <v>7.6790000000000003</v>
      </c>
      <c r="L59" s="67"/>
    </row>
    <row r="60" spans="1:12" ht="15.75" thickBot="1">
      <c r="A60" s="68" t="s">
        <v>191</v>
      </c>
      <c r="B60" s="69" t="s">
        <v>462</v>
      </c>
      <c r="C60" s="69" t="s">
        <v>461</v>
      </c>
      <c r="D60" s="70">
        <v>3.1429999999999998</v>
      </c>
      <c r="E60" s="70">
        <v>4.9080000000000004</v>
      </c>
      <c r="F60" s="71">
        <v>4.556</v>
      </c>
      <c r="G60" s="71">
        <v>4.5940000000000003</v>
      </c>
      <c r="H60" s="71">
        <v>3.97</v>
      </c>
      <c r="I60" s="71">
        <v>3.0419999999999998</v>
      </c>
      <c r="J60" s="71">
        <v>3.0419999999999998</v>
      </c>
      <c r="K60" s="71">
        <v>3.0419999999999998</v>
      </c>
      <c r="L60" s="67"/>
    </row>
    <row r="61" spans="1:12" ht="15.75" thickBot="1">
      <c r="A61" s="68" t="s">
        <v>471</v>
      </c>
      <c r="B61" s="69" t="s">
        <v>460</v>
      </c>
      <c r="C61" s="69" t="s">
        <v>461</v>
      </c>
      <c r="D61" s="70">
        <v>2.927</v>
      </c>
      <c r="E61" s="71">
        <v>4.2</v>
      </c>
      <c r="F61" s="71">
        <v>4.7</v>
      </c>
      <c r="G61" s="71">
        <v>5</v>
      </c>
      <c r="H61" s="71">
        <v>5.2</v>
      </c>
      <c r="I61" s="71">
        <v>5.3</v>
      </c>
      <c r="J61" s="71">
        <v>5.5</v>
      </c>
      <c r="K61" s="71">
        <v>5.5</v>
      </c>
      <c r="L61" s="67"/>
    </row>
    <row r="62" spans="1:12" ht="15.75" thickBot="1">
      <c r="A62" s="68" t="s">
        <v>471</v>
      </c>
      <c r="B62" s="69" t="s">
        <v>462</v>
      </c>
      <c r="C62" s="69" t="s">
        <v>461</v>
      </c>
      <c r="D62" s="70">
        <v>2.569</v>
      </c>
      <c r="E62" s="71">
        <v>2.7320000000000002</v>
      </c>
      <c r="F62" s="71">
        <v>3</v>
      </c>
      <c r="G62" s="71">
        <v>3</v>
      </c>
      <c r="H62" s="71">
        <v>2.5</v>
      </c>
      <c r="I62" s="71">
        <v>2.5</v>
      </c>
      <c r="J62" s="71">
        <v>2.5</v>
      </c>
      <c r="K62" s="71">
        <v>2.5</v>
      </c>
      <c r="L62" s="67"/>
    </row>
    <row r="63" spans="1:12" ht="15.75" thickBot="1">
      <c r="A63" s="68" t="s">
        <v>196</v>
      </c>
      <c r="B63" s="69" t="s">
        <v>460</v>
      </c>
      <c r="C63" s="69" t="s">
        <v>461</v>
      </c>
      <c r="D63" s="70">
        <v>3.2149999999999999</v>
      </c>
      <c r="E63" s="70">
        <v>2.4060000000000001</v>
      </c>
      <c r="F63" s="71">
        <v>1.9359999999999999</v>
      </c>
      <c r="G63" s="71">
        <v>1.968</v>
      </c>
      <c r="H63" s="71">
        <v>2.3660000000000001</v>
      </c>
      <c r="I63" s="71">
        <v>2.444</v>
      </c>
      <c r="J63" s="71">
        <v>2.4249999999999998</v>
      </c>
      <c r="K63" s="71">
        <v>2.3479999999999999</v>
      </c>
      <c r="L63" s="67"/>
    </row>
    <row r="64" spans="1:12" ht="15.75" thickBot="1">
      <c r="A64" s="68" t="s">
        <v>196</v>
      </c>
      <c r="B64" s="69" t="s">
        <v>462</v>
      </c>
      <c r="C64" s="69" t="s">
        <v>461</v>
      </c>
      <c r="D64" s="70">
        <v>2.2280000000000002</v>
      </c>
      <c r="E64" s="70">
        <v>2.661</v>
      </c>
      <c r="F64" s="71">
        <v>1.6739999999999999</v>
      </c>
      <c r="G64" s="71">
        <v>2.0339999999999998</v>
      </c>
      <c r="H64" s="71">
        <v>2.0219999999999998</v>
      </c>
      <c r="I64" s="71">
        <v>2.0219999999999998</v>
      </c>
      <c r="J64" s="71">
        <v>2.0219999999999998</v>
      </c>
      <c r="K64" s="71">
        <v>2.0219999999999998</v>
      </c>
      <c r="L64" s="67"/>
    </row>
    <row r="65" spans="1:12" ht="15.75" thickBot="1">
      <c r="A65" s="68" t="s">
        <v>472</v>
      </c>
      <c r="B65" s="69" t="s">
        <v>460</v>
      </c>
      <c r="C65" s="69" t="s">
        <v>461</v>
      </c>
      <c r="D65" s="71">
        <v>5.21</v>
      </c>
      <c r="E65" s="71">
        <v>5.0460000000000003</v>
      </c>
      <c r="F65" s="71">
        <v>4.2919999999999998</v>
      </c>
      <c r="G65" s="71">
        <v>4.4059999999999997</v>
      </c>
      <c r="H65" s="71">
        <v>4.548</v>
      </c>
      <c r="I65" s="71">
        <v>4.7149999999999999</v>
      </c>
      <c r="J65" s="71">
        <v>5.0010000000000003</v>
      </c>
      <c r="K65" s="71">
        <v>5.0250000000000004</v>
      </c>
      <c r="L65" s="67"/>
    </row>
    <row r="66" spans="1:12" ht="15.75" thickBot="1">
      <c r="A66" s="68" t="s">
        <v>472</v>
      </c>
      <c r="B66" s="69" t="s">
        <v>462</v>
      </c>
      <c r="C66" s="69" t="s">
        <v>461</v>
      </c>
      <c r="D66" s="70">
        <v>3.4260000000000002</v>
      </c>
      <c r="E66" s="70">
        <v>3.581</v>
      </c>
      <c r="F66" s="71">
        <v>2.2970000000000002</v>
      </c>
      <c r="G66" s="71">
        <v>2.2509999999999999</v>
      </c>
      <c r="H66" s="71">
        <v>1.9910000000000001</v>
      </c>
      <c r="I66" s="71">
        <v>1.9910000000000001</v>
      </c>
      <c r="J66" s="71">
        <v>1.9910000000000001</v>
      </c>
      <c r="K66" s="71">
        <v>2</v>
      </c>
      <c r="L66" s="67"/>
    </row>
    <row r="67" spans="1:12" ht="15.75" thickBot="1">
      <c r="A67" s="68" t="s">
        <v>473</v>
      </c>
      <c r="B67" s="69" t="s">
        <v>460</v>
      </c>
      <c r="C67" s="69" t="s">
        <v>461</v>
      </c>
      <c r="D67" s="70">
        <v>3</v>
      </c>
      <c r="E67" s="71">
        <v>3.3</v>
      </c>
      <c r="F67" s="71">
        <v>4.0999999999999996</v>
      </c>
      <c r="G67" s="71">
        <v>4.2</v>
      </c>
      <c r="H67" s="71">
        <v>5.9</v>
      </c>
      <c r="I67" s="71">
        <v>5.1840000000000002</v>
      </c>
      <c r="J67" s="71">
        <v>5.6559999999999997</v>
      </c>
      <c r="K67" s="71">
        <v>5.6840000000000002</v>
      </c>
      <c r="L67" s="67"/>
    </row>
    <row r="68" spans="1:12" ht="15.75" thickBot="1">
      <c r="A68" s="68" t="s">
        <v>473</v>
      </c>
      <c r="B68" s="69" t="s">
        <v>462</v>
      </c>
      <c r="C68" s="69" t="s">
        <v>461</v>
      </c>
      <c r="D68" s="70">
        <v>2.2610000000000001</v>
      </c>
      <c r="E68" s="70">
        <v>4.3410000000000002</v>
      </c>
      <c r="F68" s="71">
        <v>2.9449999999999998</v>
      </c>
      <c r="G68" s="71">
        <v>2.3439999999999999</v>
      </c>
      <c r="H68" s="71">
        <v>2.2970000000000002</v>
      </c>
      <c r="I68" s="71">
        <v>2.3090000000000002</v>
      </c>
      <c r="J68" s="71">
        <v>1.5309999999999999</v>
      </c>
      <c r="K68" s="71">
        <v>1.97</v>
      </c>
      <c r="L68" s="67"/>
    </row>
    <row r="69" spans="1:12" ht="15.75" thickBot="1">
      <c r="A69" s="68" t="s">
        <v>474</v>
      </c>
      <c r="B69" s="69" t="s">
        <v>460</v>
      </c>
      <c r="C69" s="69" t="s">
        <v>461</v>
      </c>
      <c r="D69" s="70">
        <v>12.984</v>
      </c>
      <c r="E69" s="71">
        <v>1.7609999999999999</v>
      </c>
      <c r="F69" s="71">
        <v>7.3220000000000001</v>
      </c>
      <c r="G69" s="71">
        <v>2.4260000000000002</v>
      </c>
      <c r="H69" s="71">
        <v>3.5019999999999998</v>
      </c>
      <c r="I69" s="71">
        <v>3.5739999999999998</v>
      </c>
      <c r="J69" s="71">
        <v>3.2280000000000002</v>
      </c>
      <c r="K69" s="71">
        <v>2.8149999999999999</v>
      </c>
      <c r="L69" s="67"/>
    </row>
    <row r="70" spans="1:12" ht="15.75" thickBot="1">
      <c r="A70" s="68" t="s">
        <v>474</v>
      </c>
      <c r="B70" s="69" t="s">
        <v>462</v>
      </c>
      <c r="C70" s="69" t="s">
        <v>461</v>
      </c>
      <c r="D70" s="70">
        <v>-2.161</v>
      </c>
      <c r="E70" s="70">
        <v>10.776999999999999</v>
      </c>
      <c r="F70" s="71">
        <v>5.5</v>
      </c>
      <c r="G70" s="71">
        <v>3</v>
      </c>
      <c r="H70" s="71">
        <v>3</v>
      </c>
      <c r="I70" s="71">
        <v>3</v>
      </c>
      <c r="J70" s="71">
        <v>3</v>
      </c>
      <c r="K70" s="71">
        <v>3</v>
      </c>
      <c r="L70" s="67"/>
    </row>
    <row r="71" spans="1:12" ht="15.75" thickBot="1">
      <c r="A71" s="68" t="s">
        <v>199</v>
      </c>
      <c r="B71" s="69" t="s">
        <v>460</v>
      </c>
      <c r="C71" s="69" t="s">
        <v>461</v>
      </c>
      <c r="D71" s="70">
        <v>6.109</v>
      </c>
      <c r="E71" s="70">
        <v>5.9240000000000004</v>
      </c>
      <c r="F71" s="71">
        <v>4.9580000000000002</v>
      </c>
      <c r="G71" s="71">
        <v>4.4470000000000001</v>
      </c>
      <c r="H71" s="71">
        <v>4.5999999999999996</v>
      </c>
      <c r="I71" s="71">
        <v>4.5999999999999996</v>
      </c>
      <c r="J71" s="71">
        <v>4.5999999999999996</v>
      </c>
      <c r="K71" s="71">
        <v>4.5999999999999996</v>
      </c>
      <c r="L71" s="67"/>
    </row>
    <row r="72" spans="1:12" ht="15.75" thickBot="1">
      <c r="A72" s="68" t="s">
        <v>199</v>
      </c>
      <c r="B72" s="69" t="s">
        <v>462</v>
      </c>
      <c r="C72" s="69" t="s">
        <v>461</v>
      </c>
      <c r="D72" s="70">
        <v>2.972</v>
      </c>
      <c r="E72" s="70">
        <v>4.4400000000000004</v>
      </c>
      <c r="F72" s="71">
        <v>2.4870000000000001</v>
      </c>
      <c r="G72" s="71">
        <v>3</v>
      </c>
      <c r="H72" s="71">
        <v>3</v>
      </c>
      <c r="I72" s="71">
        <v>3</v>
      </c>
      <c r="J72" s="71">
        <v>3</v>
      </c>
      <c r="K72" s="71">
        <v>3</v>
      </c>
      <c r="L72" s="67"/>
    </row>
    <row r="73" spans="1:12" ht="15.75" thickBot="1">
      <c r="A73" s="68" t="s">
        <v>203</v>
      </c>
      <c r="B73" s="69" t="s">
        <v>460</v>
      </c>
      <c r="C73" s="69" t="s">
        <v>461</v>
      </c>
      <c r="D73" s="70">
        <v>10.446999999999999</v>
      </c>
      <c r="E73" s="70">
        <v>9.2370000000000001</v>
      </c>
      <c r="F73" s="71">
        <v>7.8280000000000003</v>
      </c>
      <c r="G73" s="71">
        <v>8.2309999999999999</v>
      </c>
      <c r="H73" s="71">
        <v>8.5139999999999993</v>
      </c>
      <c r="I73" s="71">
        <v>8.5440000000000005</v>
      </c>
      <c r="J73" s="71">
        <v>8.5350000000000001</v>
      </c>
      <c r="K73" s="71">
        <v>8.5</v>
      </c>
      <c r="L73" s="67"/>
    </row>
    <row r="74" spans="1:12" ht="15.75" thickBot="1">
      <c r="A74" s="68" t="s">
        <v>203</v>
      </c>
      <c r="B74" s="69" t="s">
        <v>462</v>
      </c>
      <c r="C74" s="69" t="s">
        <v>461</v>
      </c>
      <c r="D74" s="70">
        <v>4.5999999999999996</v>
      </c>
      <c r="E74" s="70">
        <v>4.0999999999999996</v>
      </c>
      <c r="F74" s="71">
        <v>2.8</v>
      </c>
      <c r="G74" s="71">
        <v>3.1</v>
      </c>
      <c r="H74" s="71">
        <v>3</v>
      </c>
      <c r="I74" s="71">
        <v>3</v>
      </c>
      <c r="J74" s="71">
        <v>3</v>
      </c>
      <c r="K74" s="71">
        <v>3</v>
      </c>
      <c r="L74" s="67"/>
    </row>
    <row r="75" spans="1:12" ht="15.75" thickBot="1">
      <c r="A75" s="68" t="s">
        <v>207</v>
      </c>
      <c r="B75" s="69" t="s">
        <v>460</v>
      </c>
      <c r="C75" s="69" t="s">
        <v>461</v>
      </c>
      <c r="D75" s="71">
        <v>4.0010000000000003</v>
      </c>
      <c r="E75" s="71">
        <v>5.9139999999999997</v>
      </c>
      <c r="F75" s="71">
        <v>4.25</v>
      </c>
      <c r="G75" s="71">
        <v>4.4130000000000003</v>
      </c>
      <c r="H75" s="71">
        <v>4.4489999999999998</v>
      </c>
      <c r="I75" s="71">
        <v>4.5030000000000001</v>
      </c>
      <c r="J75" s="71">
        <v>4.4889999999999999</v>
      </c>
      <c r="K75" s="71">
        <v>4.4950000000000001</v>
      </c>
      <c r="L75" s="67"/>
    </row>
    <row r="76" spans="1:12" ht="15.75" thickBot="1">
      <c r="A76" s="68" t="s">
        <v>207</v>
      </c>
      <c r="B76" s="69" t="s">
        <v>462</v>
      </c>
      <c r="C76" s="69" t="s">
        <v>461</v>
      </c>
      <c r="D76" s="70">
        <v>3.1819999999999999</v>
      </c>
      <c r="E76" s="71">
        <v>3.7250000000000001</v>
      </c>
      <c r="F76" s="71">
        <v>2.6949999999999998</v>
      </c>
      <c r="G76" s="71">
        <v>3.0459999999999998</v>
      </c>
      <c r="H76" s="71">
        <v>3.0059999999999998</v>
      </c>
      <c r="I76" s="71">
        <v>3.0059999999999998</v>
      </c>
      <c r="J76" s="71">
        <v>3.0059999999999998</v>
      </c>
      <c r="K76" s="71">
        <v>3.0059999999999998</v>
      </c>
      <c r="L76" s="67"/>
    </row>
    <row r="77" spans="1:12" ht="15.75" thickBot="1">
      <c r="A77" s="68" t="s">
        <v>475</v>
      </c>
      <c r="B77" s="69" t="s">
        <v>460</v>
      </c>
      <c r="C77" s="69" t="s">
        <v>461</v>
      </c>
      <c r="D77" s="70">
        <v>2.0510000000000002</v>
      </c>
      <c r="E77" s="71">
        <v>2.2269999999999999</v>
      </c>
      <c r="F77" s="71">
        <v>2.4500000000000002</v>
      </c>
      <c r="G77" s="71">
        <v>3.5449999999999999</v>
      </c>
      <c r="H77" s="71">
        <v>3.9849999999999999</v>
      </c>
      <c r="I77" s="71">
        <v>3.9689999999999999</v>
      </c>
      <c r="J77" s="71">
        <v>3.97</v>
      </c>
      <c r="K77" s="71">
        <v>3.97</v>
      </c>
      <c r="L77" s="67"/>
    </row>
    <row r="78" spans="1:12" ht="15.75" thickBot="1">
      <c r="A78" s="68" t="s">
        <v>475</v>
      </c>
      <c r="B78" s="69" t="s">
        <v>462</v>
      </c>
      <c r="C78" s="69" t="s">
        <v>461</v>
      </c>
      <c r="D78" s="70">
        <v>6.5860000000000003</v>
      </c>
      <c r="E78" s="71">
        <v>6.9960000000000004</v>
      </c>
      <c r="F78" s="71">
        <v>4.2629999999999999</v>
      </c>
      <c r="G78" s="71">
        <v>1.994</v>
      </c>
      <c r="H78" s="71">
        <v>2.1520000000000001</v>
      </c>
      <c r="I78" s="71">
        <v>2.4449999999999998</v>
      </c>
      <c r="J78" s="71">
        <v>2.6539999999999999</v>
      </c>
      <c r="K78" s="71">
        <v>4.1289999999999996</v>
      </c>
      <c r="L78" s="67"/>
    </row>
    <row r="79" spans="1:12" ht="15.75" thickBot="1">
      <c r="A79" s="68" t="s">
        <v>476</v>
      </c>
      <c r="B79" s="69" t="s">
        <v>460</v>
      </c>
      <c r="C79" s="69" t="s">
        <v>461</v>
      </c>
      <c r="D79" s="70">
        <v>7.1740000000000004</v>
      </c>
      <c r="E79" s="70">
        <v>6.88</v>
      </c>
      <c r="F79" s="71">
        <v>7.1120000000000001</v>
      </c>
      <c r="G79" s="71">
        <v>8.1780000000000008</v>
      </c>
      <c r="H79" s="71">
        <v>6.4390000000000001</v>
      </c>
      <c r="I79" s="71">
        <v>7.2859999999999996</v>
      </c>
      <c r="J79" s="71">
        <v>5.0579999999999998</v>
      </c>
      <c r="K79" s="71">
        <v>7.9370000000000003</v>
      </c>
      <c r="L79" s="67"/>
    </row>
    <row r="80" spans="1:12" ht="15.75" thickBot="1">
      <c r="A80" s="68" t="s">
        <v>476</v>
      </c>
      <c r="B80" s="69" t="s">
        <v>462</v>
      </c>
      <c r="C80" s="69" t="s">
        <v>461</v>
      </c>
      <c r="D80" s="70">
        <v>9.8379999999999992</v>
      </c>
      <c r="E80" s="70">
        <v>15.433999999999999</v>
      </c>
      <c r="F80" s="71">
        <v>9.9</v>
      </c>
      <c r="G80" s="71">
        <v>9</v>
      </c>
      <c r="H80" s="71">
        <v>8.5</v>
      </c>
      <c r="I80" s="71">
        <v>8</v>
      </c>
      <c r="J80" s="71">
        <v>7.5</v>
      </c>
      <c r="K80" s="71">
        <v>7</v>
      </c>
      <c r="L80" s="67"/>
    </row>
    <row r="81" spans="1:12" ht="15.75" thickBot="1">
      <c r="A81" s="68" t="s">
        <v>477</v>
      </c>
      <c r="B81" s="69" t="s">
        <v>460</v>
      </c>
      <c r="C81" s="69" t="s">
        <v>461</v>
      </c>
      <c r="D81" s="71">
        <v>8.7520000000000007</v>
      </c>
      <c r="E81" s="71">
        <v>3.4209999999999998</v>
      </c>
      <c r="F81" s="71">
        <v>4.931</v>
      </c>
      <c r="G81" s="71">
        <v>5.2919999999999998</v>
      </c>
      <c r="H81" s="71">
        <v>5.37</v>
      </c>
      <c r="I81" s="71">
        <v>19.75</v>
      </c>
      <c r="J81" s="71">
        <v>4.266</v>
      </c>
      <c r="K81" s="71">
        <v>5.8029999999999999</v>
      </c>
      <c r="L81" s="67"/>
    </row>
    <row r="82" spans="1:12" ht="15.75" thickBot="1">
      <c r="A82" s="68" t="s">
        <v>477</v>
      </c>
      <c r="B82" s="69" t="s">
        <v>462</v>
      </c>
      <c r="C82" s="69" t="s">
        <v>461</v>
      </c>
      <c r="D82" s="70">
        <v>5.3689999999999998</v>
      </c>
      <c r="E82" s="71">
        <v>1.77</v>
      </c>
      <c r="F82" s="71">
        <v>5.2729999999999997</v>
      </c>
      <c r="G82" s="71">
        <v>4.0890000000000004</v>
      </c>
      <c r="H82" s="71">
        <v>2.9489999999999998</v>
      </c>
      <c r="I82" s="71">
        <v>2.7949999999999999</v>
      </c>
      <c r="J82" s="71">
        <v>2.7679999999999998</v>
      </c>
      <c r="K82" s="71">
        <v>2.7679999999999998</v>
      </c>
      <c r="L82" s="67"/>
    </row>
    <row r="83" spans="1:12" ht="15.75" thickBot="1">
      <c r="A83" s="68" t="s">
        <v>210</v>
      </c>
      <c r="B83" s="69" t="s">
        <v>460</v>
      </c>
      <c r="C83" s="69" t="s">
        <v>461</v>
      </c>
      <c r="D83" s="70">
        <v>4.68</v>
      </c>
      <c r="E83" s="71">
        <v>4.1639999999999997</v>
      </c>
      <c r="F83" s="71">
        <v>4.8</v>
      </c>
      <c r="G83" s="71">
        <v>4.3</v>
      </c>
      <c r="H83" s="71">
        <v>4.4000000000000004</v>
      </c>
      <c r="I83" s="71">
        <v>4.5</v>
      </c>
      <c r="J83" s="71">
        <v>4.5</v>
      </c>
      <c r="K83" s="71">
        <v>4.5</v>
      </c>
      <c r="L83" s="67"/>
    </row>
    <row r="84" spans="1:12" ht="15.75" thickBot="1">
      <c r="A84" s="68" t="s">
        <v>210</v>
      </c>
      <c r="B84" s="69" t="s">
        <v>462</v>
      </c>
      <c r="C84" s="69" t="s">
        <v>461</v>
      </c>
      <c r="D84" s="70">
        <v>5.8280000000000003</v>
      </c>
      <c r="E84" s="71">
        <v>4.7309999999999999</v>
      </c>
      <c r="F84" s="71">
        <v>5</v>
      </c>
      <c r="G84" s="71">
        <v>5</v>
      </c>
      <c r="H84" s="71">
        <v>4.5</v>
      </c>
      <c r="I84" s="71">
        <v>4.5</v>
      </c>
      <c r="J84" s="71">
        <v>4</v>
      </c>
      <c r="K84" s="71">
        <v>4</v>
      </c>
      <c r="L84" s="67"/>
    </row>
    <row r="85" spans="1:12" ht="15.75" thickBot="1">
      <c r="A85" s="68" t="s">
        <v>478</v>
      </c>
      <c r="B85" s="69" t="s">
        <v>460</v>
      </c>
      <c r="C85" s="69" t="s">
        <v>461</v>
      </c>
      <c r="D85" s="70">
        <v>2.3940000000000001</v>
      </c>
      <c r="E85" s="70">
        <v>-4.7290000000000001</v>
      </c>
      <c r="F85" s="71">
        <v>8.1300000000000008</v>
      </c>
      <c r="G85" s="71">
        <v>6.9889999999999999</v>
      </c>
      <c r="H85" s="71">
        <v>7.3390000000000004</v>
      </c>
      <c r="I85" s="71">
        <v>7.516</v>
      </c>
      <c r="J85" s="71">
        <v>7.5579999999999998</v>
      </c>
      <c r="K85" s="71">
        <v>7.8</v>
      </c>
      <c r="L85" s="67"/>
    </row>
    <row r="86" spans="1:12" ht="15.75" thickBot="1">
      <c r="A86" s="68" t="s">
        <v>478</v>
      </c>
      <c r="B86" s="69" t="s">
        <v>462</v>
      </c>
      <c r="C86" s="69" t="s">
        <v>461</v>
      </c>
      <c r="D86" s="70">
        <v>5.1040000000000001</v>
      </c>
      <c r="E86" s="70">
        <v>1.9</v>
      </c>
      <c r="F86" s="71">
        <v>1.5</v>
      </c>
      <c r="G86" s="71">
        <v>2.5</v>
      </c>
      <c r="H86" s="71">
        <v>2.5</v>
      </c>
      <c r="I86" s="71">
        <v>2.5</v>
      </c>
      <c r="J86" s="71">
        <v>2.5</v>
      </c>
      <c r="K86" s="71">
        <v>2.5</v>
      </c>
      <c r="L86" s="67"/>
    </row>
    <row r="87" spans="1:12" ht="15.75" thickBot="1">
      <c r="A87" s="68" t="s">
        <v>214</v>
      </c>
      <c r="B87" s="69" t="s">
        <v>460</v>
      </c>
      <c r="C87" s="69" t="s">
        <v>461</v>
      </c>
      <c r="D87" s="70">
        <v>-1.405</v>
      </c>
      <c r="E87" s="70">
        <v>-1.2999999999999999E-2</v>
      </c>
      <c r="F87" s="71">
        <v>-1.139</v>
      </c>
      <c r="G87" s="71">
        <v>0.95299999999999996</v>
      </c>
      <c r="H87" s="71">
        <v>1.5</v>
      </c>
      <c r="I87" s="71">
        <v>2</v>
      </c>
      <c r="J87" s="71">
        <v>2.5</v>
      </c>
      <c r="K87" s="71">
        <v>2.5</v>
      </c>
      <c r="L87" s="67"/>
    </row>
    <row r="88" spans="1:12" ht="15.75" thickBot="1">
      <c r="A88" s="68" t="s">
        <v>214</v>
      </c>
      <c r="B88" s="69" t="s">
        <v>462</v>
      </c>
      <c r="C88" s="69" t="s">
        <v>461</v>
      </c>
      <c r="D88" s="70">
        <v>1.915</v>
      </c>
      <c r="E88" s="70">
        <v>2.0499999999999998</v>
      </c>
      <c r="F88" s="71">
        <v>3.7309999999999999</v>
      </c>
      <c r="G88" s="71">
        <v>3</v>
      </c>
      <c r="H88" s="71">
        <v>3</v>
      </c>
      <c r="I88" s="71">
        <v>3</v>
      </c>
      <c r="J88" s="71">
        <v>3</v>
      </c>
      <c r="K88" s="71">
        <v>3</v>
      </c>
      <c r="L88" s="67"/>
    </row>
    <row r="89" spans="1:12" ht="15.75" thickBot="1">
      <c r="A89" s="68" t="s">
        <v>223</v>
      </c>
      <c r="B89" s="69" t="s">
        <v>460</v>
      </c>
      <c r="C89" s="69" t="s">
        <v>461</v>
      </c>
      <c r="D89" s="70">
        <v>1.141</v>
      </c>
      <c r="E89" s="70">
        <v>0.48099999999999998</v>
      </c>
      <c r="F89" s="71">
        <v>-2.2509999999999999</v>
      </c>
      <c r="G89" s="71">
        <v>-0.95799999999999996</v>
      </c>
      <c r="H89" s="71">
        <v>0.67900000000000005</v>
      </c>
      <c r="I89" s="71">
        <v>1.179</v>
      </c>
      <c r="J89" s="71">
        <v>1.6679999999999999</v>
      </c>
      <c r="K89" s="71">
        <v>2.0009999999999999</v>
      </c>
      <c r="L89" s="67"/>
    </row>
    <row r="90" spans="1:12" ht="15.75" thickBot="1">
      <c r="A90" s="68" t="s">
        <v>223</v>
      </c>
      <c r="B90" s="69" t="s">
        <v>462</v>
      </c>
      <c r="C90" s="69" t="s">
        <v>461</v>
      </c>
      <c r="D90" s="70">
        <v>1.9470000000000001</v>
      </c>
      <c r="E90" s="70">
        <v>4.1550000000000002</v>
      </c>
      <c r="F90" s="71">
        <v>2.71</v>
      </c>
      <c r="G90" s="71">
        <v>2.2000000000000002</v>
      </c>
      <c r="H90" s="71">
        <v>1.8</v>
      </c>
      <c r="I90" s="71">
        <v>1.7</v>
      </c>
      <c r="J90" s="71">
        <v>1.9</v>
      </c>
      <c r="K90" s="71">
        <v>2</v>
      </c>
      <c r="L90" s="67"/>
    </row>
    <row r="91" spans="1:12" ht="15.75" thickBot="1">
      <c r="A91" s="68" t="s">
        <v>226</v>
      </c>
      <c r="B91" s="69" t="s">
        <v>460</v>
      </c>
      <c r="C91" s="69" t="s">
        <v>461</v>
      </c>
      <c r="D91" s="70">
        <v>2.7389999999999999</v>
      </c>
      <c r="E91" s="70">
        <v>1.659</v>
      </c>
      <c r="F91" s="71">
        <v>-1.008</v>
      </c>
      <c r="G91" s="71">
        <v>0.78500000000000003</v>
      </c>
      <c r="H91" s="71">
        <v>2.8010000000000002</v>
      </c>
      <c r="I91" s="71">
        <v>3.411</v>
      </c>
      <c r="J91" s="71">
        <v>3.4089999999999998</v>
      </c>
      <c r="K91" s="71">
        <v>3.371</v>
      </c>
      <c r="L91" s="67"/>
    </row>
    <row r="92" spans="1:12" ht="15.75" thickBot="1">
      <c r="A92" s="68" t="s">
        <v>226</v>
      </c>
      <c r="B92" s="69" t="s">
        <v>462</v>
      </c>
      <c r="C92" s="69" t="s">
        <v>461</v>
      </c>
      <c r="D92" s="70">
        <v>2.3029999999999999</v>
      </c>
      <c r="E92" s="70">
        <v>2.4239999999999999</v>
      </c>
      <c r="F92" s="71">
        <v>3.1</v>
      </c>
      <c r="G92" s="71">
        <v>2.2000000000000002</v>
      </c>
      <c r="H92" s="71">
        <v>2</v>
      </c>
      <c r="I92" s="71">
        <v>2</v>
      </c>
      <c r="J92" s="71">
        <v>2</v>
      </c>
      <c r="K92" s="71">
        <v>2</v>
      </c>
      <c r="L92" s="67"/>
    </row>
    <row r="93" spans="1:12" ht="15.75" thickBot="1">
      <c r="A93" s="68" t="s">
        <v>234</v>
      </c>
      <c r="B93" s="69" t="s">
        <v>460</v>
      </c>
      <c r="C93" s="69" t="s">
        <v>461</v>
      </c>
      <c r="D93" s="70">
        <v>1.296</v>
      </c>
      <c r="E93" s="70">
        <v>0.76900000000000002</v>
      </c>
      <c r="F93" s="71">
        <v>0.51100000000000001</v>
      </c>
      <c r="G93" s="71">
        <v>1.232</v>
      </c>
      <c r="H93" s="71">
        <v>1.8340000000000001</v>
      </c>
      <c r="I93" s="71">
        <v>1.8380000000000001</v>
      </c>
      <c r="J93" s="71">
        <v>1.7669999999999999</v>
      </c>
      <c r="K93" s="71">
        <v>1.77</v>
      </c>
      <c r="L93" s="67"/>
    </row>
    <row r="94" spans="1:12" ht="15.75" thickBot="1">
      <c r="A94" s="68" t="s">
        <v>234</v>
      </c>
      <c r="B94" s="69" t="s">
        <v>462</v>
      </c>
      <c r="C94" s="69" t="s">
        <v>461</v>
      </c>
      <c r="D94" s="70">
        <v>2.9020000000000001</v>
      </c>
      <c r="E94" s="70">
        <v>2.4980000000000002</v>
      </c>
      <c r="F94" s="71">
        <v>2.6779999999999999</v>
      </c>
      <c r="G94" s="71">
        <v>2.1</v>
      </c>
      <c r="H94" s="71">
        <v>2</v>
      </c>
      <c r="I94" s="71">
        <v>1.9</v>
      </c>
      <c r="J94" s="71">
        <v>1.8</v>
      </c>
      <c r="K94" s="71">
        <v>2.8</v>
      </c>
      <c r="L94" s="67"/>
    </row>
    <row r="95" spans="1:12" ht="15.75" thickBot="1">
      <c r="A95" s="68" t="s">
        <v>479</v>
      </c>
      <c r="B95" s="69" t="s">
        <v>460</v>
      </c>
      <c r="C95" s="69" t="s">
        <v>461</v>
      </c>
      <c r="D95" s="71">
        <v>3.4870000000000001</v>
      </c>
      <c r="E95" s="71">
        <v>4.492</v>
      </c>
      <c r="F95" s="71">
        <v>4.8179999999999996</v>
      </c>
      <c r="G95" s="71">
        <v>4.9790000000000001</v>
      </c>
      <c r="H95" s="71">
        <v>4.9779999999999998</v>
      </c>
      <c r="I95" s="71">
        <v>5.492</v>
      </c>
      <c r="J95" s="71">
        <v>5.8120000000000003</v>
      </c>
      <c r="K95" s="71">
        <v>5.8070000000000004</v>
      </c>
      <c r="L95" s="67"/>
    </row>
    <row r="96" spans="1:12" ht="15.75" thickBot="1">
      <c r="A96" s="68" t="s">
        <v>479</v>
      </c>
      <c r="B96" s="69" t="s">
        <v>462</v>
      </c>
      <c r="C96" s="69" t="s">
        <v>461</v>
      </c>
      <c r="D96" s="70">
        <v>2.798</v>
      </c>
      <c r="E96" s="70">
        <v>7.62</v>
      </c>
      <c r="F96" s="71">
        <v>2.403</v>
      </c>
      <c r="G96" s="71">
        <v>1.256</v>
      </c>
      <c r="H96" s="71">
        <v>2.3130000000000002</v>
      </c>
      <c r="I96" s="71">
        <v>2.2789999999999999</v>
      </c>
      <c r="J96" s="71">
        <v>2.3380000000000001</v>
      </c>
      <c r="K96" s="71">
        <v>2.3690000000000002</v>
      </c>
      <c r="L96" s="67"/>
    </row>
    <row r="97" spans="1:12" ht="15.75" thickBot="1">
      <c r="A97" s="68" t="s">
        <v>480</v>
      </c>
      <c r="B97" s="69" t="s">
        <v>460</v>
      </c>
      <c r="C97" s="69" t="s">
        <v>461</v>
      </c>
      <c r="D97" s="70">
        <v>1.2110000000000001</v>
      </c>
      <c r="E97" s="70">
        <v>0.98899999999999999</v>
      </c>
      <c r="F97" s="71">
        <v>0.44700000000000001</v>
      </c>
      <c r="G97" s="71">
        <v>1.254</v>
      </c>
      <c r="H97" s="71">
        <v>1.468</v>
      </c>
      <c r="I97" s="71">
        <v>1.6659999999999999</v>
      </c>
      <c r="J97" s="71">
        <v>1.841</v>
      </c>
      <c r="K97" s="71">
        <v>2.02</v>
      </c>
      <c r="L97" s="67"/>
    </row>
    <row r="98" spans="1:12" ht="15.75" thickBot="1">
      <c r="A98" s="68" t="s">
        <v>480</v>
      </c>
      <c r="B98" s="69" t="s">
        <v>462</v>
      </c>
      <c r="C98" s="69" t="s">
        <v>461</v>
      </c>
      <c r="D98" s="70">
        <v>5.8000000000000003E-2</v>
      </c>
      <c r="E98" s="70">
        <v>2.0489999999999999</v>
      </c>
      <c r="F98" s="71">
        <v>3.617</v>
      </c>
      <c r="G98" s="71">
        <v>1.466</v>
      </c>
      <c r="H98" s="71">
        <v>1.605</v>
      </c>
      <c r="I98" s="71">
        <v>1.7689999999999999</v>
      </c>
      <c r="J98" s="71">
        <v>1.9470000000000001</v>
      </c>
      <c r="K98" s="71">
        <v>1.9990000000000001</v>
      </c>
      <c r="L98" s="67"/>
    </row>
    <row r="99" spans="1:12" ht="15.75" thickBot="1">
      <c r="A99" s="68" t="s">
        <v>238</v>
      </c>
      <c r="B99" s="69" t="s">
        <v>460</v>
      </c>
      <c r="C99" s="69" t="s">
        <v>461</v>
      </c>
      <c r="D99" s="70">
        <v>7.7510000000000003</v>
      </c>
      <c r="E99" s="70">
        <v>4.4829999999999997</v>
      </c>
      <c r="F99" s="71">
        <v>4.0439999999999996</v>
      </c>
      <c r="G99" s="71">
        <v>4.5</v>
      </c>
      <c r="H99" s="71">
        <v>5</v>
      </c>
      <c r="I99" s="71">
        <v>5</v>
      </c>
      <c r="J99" s="71">
        <v>5</v>
      </c>
      <c r="K99" s="71">
        <v>5</v>
      </c>
      <c r="L99" s="67"/>
    </row>
    <row r="100" spans="1:12" ht="15.75" thickBot="1">
      <c r="A100" s="68" t="s">
        <v>238</v>
      </c>
      <c r="B100" s="69" t="s">
        <v>462</v>
      </c>
      <c r="C100" s="69" t="s">
        <v>461</v>
      </c>
      <c r="D100" s="70">
        <v>6.2380000000000004</v>
      </c>
      <c r="E100" s="70">
        <v>7.76</v>
      </c>
      <c r="F100" s="71">
        <v>4.5</v>
      </c>
      <c r="G100" s="71">
        <v>5</v>
      </c>
      <c r="H100" s="71">
        <v>4.5</v>
      </c>
      <c r="I100" s="71">
        <v>4</v>
      </c>
      <c r="J100" s="71">
        <v>4</v>
      </c>
      <c r="K100" s="71">
        <v>4</v>
      </c>
      <c r="L100" s="67"/>
    </row>
    <row r="101" spans="1:12" ht="15.75" thickBot="1">
      <c r="A101" s="68" t="s">
        <v>239</v>
      </c>
      <c r="B101" s="69" t="s">
        <v>460</v>
      </c>
      <c r="C101" s="69" t="s">
        <v>461</v>
      </c>
      <c r="D101" s="70">
        <v>3.5819999999999999</v>
      </c>
      <c r="E101" s="70">
        <v>7.78</v>
      </c>
      <c r="F101" s="71">
        <v>4.048</v>
      </c>
      <c r="G101" s="71">
        <v>4.1219999999999999</v>
      </c>
      <c r="H101" s="71">
        <v>3.7949999999999999</v>
      </c>
      <c r="I101" s="71">
        <v>3.5720000000000001</v>
      </c>
      <c r="J101" s="71">
        <v>3.4670000000000001</v>
      </c>
      <c r="K101" s="71">
        <v>3.4159999999999999</v>
      </c>
      <c r="L101" s="67"/>
    </row>
    <row r="102" spans="1:12" ht="15.75" thickBot="1">
      <c r="A102" s="68" t="s">
        <v>239</v>
      </c>
      <c r="B102" s="69" t="s">
        <v>462</v>
      </c>
      <c r="C102" s="69" t="s">
        <v>461</v>
      </c>
      <c r="D102" s="70">
        <v>3.32</v>
      </c>
      <c r="E102" s="70">
        <v>5.41</v>
      </c>
      <c r="F102" s="71">
        <v>4.6349999999999998</v>
      </c>
      <c r="G102" s="71">
        <v>4.4690000000000003</v>
      </c>
      <c r="H102" s="71">
        <v>3.3839999999999999</v>
      </c>
      <c r="I102" s="71">
        <v>3</v>
      </c>
      <c r="J102" s="71">
        <v>3</v>
      </c>
      <c r="K102" s="71">
        <v>3</v>
      </c>
      <c r="L102" s="67"/>
    </row>
    <row r="103" spans="1:12" ht="15.75" thickBot="1">
      <c r="A103" s="68" t="s">
        <v>240</v>
      </c>
      <c r="B103" s="69" t="s">
        <v>460</v>
      </c>
      <c r="C103" s="69" t="s">
        <v>461</v>
      </c>
      <c r="D103" s="70">
        <v>5.1470000000000002</v>
      </c>
      <c r="E103" s="70">
        <v>1.776</v>
      </c>
      <c r="F103" s="71">
        <v>1.962</v>
      </c>
      <c r="G103" s="71">
        <v>3.0329999999999999</v>
      </c>
      <c r="H103" s="71">
        <v>4.5060000000000002</v>
      </c>
      <c r="I103" s="71">
        <v>6.0010000000000003</v>
      </c>
      <c r="J103" s="71">
        <v>6.4909999999999997</v>
      </c>
      <c r="K103" s="71">
        <v>6.5060000000000002</v>
      </c>
      <c r="L103" s="67"/>
    </row>
    <row r="104" spans="1:12" ht="15.75" thickBot="1">
      <c r="A104" s="68" t="s">
        <v>240</v>
      </c>
      <c r="B104" s="69" t="s">
        <v>462</v>
      </c>
      <c r="C104" s="69" t="s">
        <v>461</v>
      </c>
      <c r="D104" s="70">
        <v>10.704000000000001</v>
      </c>
      <c r="E104" s="70">
        <v>11.782999999999999</v>
      </c>
      <c r="F104" s="71">
        <v>7.2569999999999997</v>
      </c>
      <c r="G104" s="71">
        <v>12.307</v>
      </c>
      <c r="H104" s="71">
        <v>10.941000000000001</v>
      </c>
      <c r="I104" s="71">
        <v>9</v>
      </c>
      <c r="J104" s="71">
        <v>7</v>
      </c>
      <c r="K104" s="71">
        <v>6</v>
      </c>
      <c r="L104" s="67"/>
    </row>
    <row r="105" spans="1:12" ht="15.75" thickBot="1">
      <c r="A105" s="68" t="s">
        <v>244</v>
      </c>
      <c r="B105" s="69" t="s">
        <v>460</v>
      </c>
      <c r="C105" s="69" t="s">
        <v>461</v>
      </c>
      <c r="D105" s="70">
        <v>1.4259999999999999</v>
      </c>
      <c r="E105" s="70">
        <v>1.4</v>
      </c>
      <c r="F105" s="71">
        <v>1.5</v>
      </c>
      <c r="G105" s="71">
        <v>2</v>
      </c>
      <c r="H105" s="71">
        <v>2</v>
      </c>
      <c r="I105" s="71">
        <v>2.5</v>
      </c>
      <c r="J105" s="71">
        <v>3</v>
      </c>
      <c r="K105" s="71">
        <v>3</v>
      </c>
      <c r="L105" s="67"/>
    </row>
    <row r="106" spans="1:12" ht="15.75" thickBot="1">
      <c r="A106" s="68" t="s">
        <v>244</v>
      </c>
      <c r="B106" s="69" t="s">
        <v>462</v>
      </c>
      <c r="C106" s="69" t="s">
        <v>461</v>
      </c>
      <c r="D106" s="70">
        <v>2.13</v>
      </c>
      <c r="E106" s="70">
        <v>5.0519999999999996</v>
      </c>
      <c r="F106" s="71">
        <v>3</v>
      </c>
      <c r="G106" s="71">
        <v>2.8</v>
      </c>
      <c r="H106" s="71">
        <v>2.8</v>
      </c>
      <c r="I106" s="71">
        <v>2.8</v>
      </c>
      <c r="J106" s="71">
        <v>2.8</v>
      </c>
      <c r="K106" s="71">
        <v>2.8</v>
      </c>
      <c r="L106" s="67"/>
    </row>
    <row r="107" spans="1:12" ht="15.75" thickBot="1">
      <c r="A107" s="68" t="s">
        <v>481</v>
      </c>
      <c r="B107" s="69" t="s">
        <v>460</v>
      </c>
      <c r="C107" s="69" t="s">
        <v>461</v>
      </c>
      <c r="D107" s="70">
        <v>-0.51300000000000001</v>
      </c>
      <c r="E107" s="71">
        <v>7.8040000000000003</v>
      </c>
      <c r="F107" s="71">
        <v>5.6710000000000003</v>
      </c>
      <c r="G107" s="71">
        <v>6.0549999999999997</v>
      </c>
      <c r="H107" s="71">
        <v>1.4930000000000001</v>
      </c>
      <c r="I107" s="71">
        <v>-2.9209999999999998</v>
      </c>
      <c r="J107" s="71">
        <v>-5.4829999999999997</v>
      </c>
      <c r="K107" s="71">
        <v>3.7349999999999999</v>
      </c>
      <c r="L107" s="67"/>
    </row>
    <row r="108" spans="1:12" ht="15.75" thickBot="1">
      <c r="A108" s="68" t="s">
        <v>481</v>
      </c>
      <c r="B108" s="69" t="s">
        <v>462</v>
      </c>
      <c r="C108" s="69" t="s">
        <v>461</v>
      </c>
      <c r="D108" s="70">
        <v>7.3259999999999996</v>
      </c>
      <c r="E108" s="71">
        <v>6.524</v>
      </c>
      <c r="F108" s="71">
        <v>6.9619999999999997</v>
      </c>
      <c r="G108" s="71">
        <v>7.016</v>
      </c>
      <c r="H108" s="71">
        <v>7.0359999999999996</v>
      </c>
      <c r="I108" s="71">
        <v>6.9089999999999998</v>
      </c>
      <c r="J108" s="71">
        <v>6.8659999999999997</v>
      </c>
      <c r="K108" s="71">
        <v>6.8879999999999999</v>
      </c>
      <c r="L108" s="67"/>
    </row>
    <row r="109" spans="1:12" ht="15.75" thickBot="1">
      <c r="A109" s="68" t="s">
        <v>482</v>
      </c>
      <c r="B109" s="69" t="s">
        <v>460</v>
      </c>
      <c r="C109" s="69" t="s">
        <v>461</v>
      </c>
      <c r="D109" s="71">
        <v>2.194</v>
      </c>
      <c r="E109" s="71">
        <v>8.718</v>
      </c>
      <c r="F109" s="71">
        <v>7.5369999999999999</v>
      </c>
      <c r="G109" s="71">
        <v>3.4359999999999999</v>
      </c>
      <c r="H109" s="71">
        <v>2.1930000000000001</v>
      </c>
      <c r="I109" s="71">
        <v>1.4590000000000001</v>
      </c>
      <c r="J109" s="71">
        <v>1.8089999999999999</v>
      </c>
      <c r="K109" s="71">
        <v>-3.25</v>
      </c>
      <c r="L109" s="67"/>
    </row>
    <row r="110" spans="1:12" ht="15.75" thickBot="1">
      <c r="A110" s="68" t="s">
        <v>482</v>
      </c>
      <c r="B110" s="69" t="s">
        <v>462</v>
      </c>
      <c r="C110" s="69" t="s">
        <v>461</v>
      </c>
      <c r="D110" s="71">
        <v>14.198</v>
      </c>
      <c r="E110" s="71">
        <v>12.256</v>
      </c>
      <c r="F110" s="71">
        <v>12.256</v>
      </c>
      <c r="G110" s="71">
        <v>12.256</v>
      </c>
      <c r="H110" s="71">
        <v>12.256</v>
      </c>
      <c r="I110" s="71">
        <v>12.256</v>
      </c>
      <c r="J110" s="71">
        <v>12.256</v>
      </c>
      <c r="K110" s="71">
        <v>12.256</v>
      </c>
      <c r="L110" s="67"/>
    </row>
    <row r="111" spans="1:12" ht="15.75" thickBot="1">
      <c r="A111" s="68" t="s">
        <v>245</v>
      </c>
      <c r="B111" s="69" t="s">
        <v>460</v>
      </c>
      <c r="C111" s="69" t="s">
        <v>461</v>
      </c>
      <c r="D111" s="70">
        <v>2.2639999999999998</v>
      </c>
      <c r="E111" s="70">
        <v>7.6360000000000001</v>
      </c>
      <c r="F111" s="71">
        <v>2.4489999999999998</v>
      </c>
      <c r="G111" s="71">
        <v>3.524</v>
      </c>
      <c r="H111" s="71">
        <v>3.516</v>
      </c>
      <c r="I111" s="71">
        <v>3.6349999999999998</v>
      </c>
      <c r="J111" s="71">
        <v>3.7429999999999999</v>
      </c>
      <c r="K111" s="71">
        <v>3.8879999999999999</v>
      </c>
      <c r="L111" s="67"/>
    </row>
    <row r="112" spans="1:12" ht="15.75" thickBot="1">
      <c r="A112" s="68" t="s">
        <v>245</v>
      </c>
      <c r="B112" s="69" t="s">
        <v>462</v>
      </c>
      <c r="C112" s="69" t="s">
        <v>461</v>
      </c>
      <c r="D112" s="70">
        <v>5.4160000000000004</v>
      </c>
      <c r="E112" s="70">
        <v>4.1349999999999998</v>
      </c>
      <c r="F112" s="71">
        <v>4.9809999999999999</v>
      </c>
      <c r="G112" s="71">
        <v>3.2</v>
      </c>
      <c r="H112" s="71">
        <v>2.8</v>
      </c>
      <c r="I112" s="71">
        <v>2.8</v>
      </c>
      <c r="J112" s="71">
        <v>2.8</v>
      </c>
      <c r="K112" s="71">
        <v>2.8</v>
      </c>
      <c r="L112" s="67"/>
    </row>
    <row r="113" spans="1:12" ht="15.75" thickBot="1">
      <c r="A113" s="68" t="s">
        <v>483</v>
      </c>
      <c r="B113" s="69" t="s">
        <v>460</v>
      </c>
      <c r="C113" s="69" t="s">
        <v>461</v>
      </c>
      <c r="D113" s="70">
        <v>8</v>
      </c>
      <c r="E113" s="70">
        <v>7.4989999999999997</v>
      </c>
      <c r="F113" s="71">
        <v>7</v>
      </c>
      <c r="G113" s="71">
        <v>6.5</v>
      </c>
      <c r="H113" s="71">
        <v>6.4989999999999997</v>
      </c>
      <c r="I113" s="71">
        <v>6.4989999999999997</v>
      </c>
      <c r="J113" s="71">
        <v>6.4989999999999997</v>
      </c>
      <c r="K113" s="71">
        <v>6.4989999999999997</v>
      </c>
      <c r="L113" s="67"/>
    </row>
    <row r="114" spans="1:12" ht="15.75" thickBot="1">
      <c r="A114" s="68" t="s">
        <v>483</v>
      </c>
      <c r="B114" s="69" t="s">
        <v>462</v>
      </c>
      <c r="C114" s="69" t="s">
        <v>461</v>
      </c>
      <c r="D114" s="70">
        <v>14.564</v>
      </c>
      <c r="E114" s="70">
        <v>35.918999999999997</v>
      </c>
      <c r="F114" s="71">
        <v>16.565000000000001</v>
      </c>
      <c r="G114" s="71">
        <v>8.9949999999999992</v>
      </c>
      <c r="H114" s="71">
        <v>9</v>
      </c>
      <c r="I114" s="71">
        <v>9</v>
      </c>
      <c r="J114" s="71">
        <v>9</v>
      </c>
      <c r="K114" s="71">
        <v>9</v>
      </c>
      <c r="L114" s="67"/>
    </row>
    <row r="115" spans="1:12" ht="15.75" thickBot="1">
      <c r="A115" s="68" t="s">
        <v>484</v>
      </c>
      <c r="B115" s="69" t="s">
        <v>460</v>
      </c>
      <c r="C115" s="69" t="s">
        <v>461</v>
      </c>
      <c r="D115" s="71">
        <v>-0.16500000000000001</v>
      </c>
      <c r="E115" s="71">
        <v>2.0760000000000001</v>
      </c>
      <c r="F115" s="71">
        <v>2.0409999999999999</v>
      </c>
      <c r="G115" s="71">
        <v>1.9630000000000001</v>
      </c>
      <c r="H115" s="71">
        <v>2.1040000000000001</v>
      </c>
      <c r="I115" s="71">
        <v>2.052</v>
      </c>
      <c r="J115" s="71">
        <v>2.0750000000000002</v>
      </c>
      <c r="K115" s="71">
        <v>2.097</v>
      </c>
      <c r="L115" s="67"/>
    </row>
    <row r="116" spans="1:12" ht="15.75" thickBot="1">
      <c r="A116" s="68" t="s">
        <v>484</v>
      </c>
      <c r="B116" s="69" t="s">
        <v>462</v>
      </c>
      <c r="C116" s="69" t="s">
        <v>461</v>
      </c>
      <c r="D116" s="70">
        <v>4.8840000000000003</v>
      </c>
      <c r="E116" s="70">
        <v>7.7859999999999996</v>
      </c>
      <c r="F116" s="71">
        <v>4.5</v>
      </c>
      <c r="G116" s="71">
        <v>4.5</v>
      </c>
      <c r="H116" s="71">
        <v>4</v>
      </c>
      <c r="I116" s="71">
        <v>3.5</v>
      </c>
      <c r="J116" s="71">
        <v>3.5</v>
      </c>
      <c r="K116" s="71">
        <v>3.5</v>
      </c>
      <c r="L116" s="67"/>
    </row>
    <row r="117" spans="1:12" ht="15.75" thickBot="1">
      <c r="A117" s="68" t="s">
        <v>250</v>
      </c>
      <c r="B117" s="69" t="s">
        <v>460</v>
      </c>
      <c r="C117" s="69" t="s">
        <v>461</v>
      </c>
      <c r="D117" s="70">
        <v>3.323</v>
      </c>
      <c r="E117" s="70">
        <v>2.7410000000000001</v>
      </c>
      <c r="F117" s="71">
        <v>0.187</v>
      </c>
      <c r="G117" s="71">
        <v>1.341</v>
      </c>
      <c r="H117" s="71">
        <v>2.0739999999999998</v>
      </c>
      <c r="I117" s="71">
        <v>2.0209999999999999</v>
      </c>
      <c r="J117" s="71">
        <v>1.921</v>
      </c>
      <c r="K117" s="71">
        <v>1.879</v>
      </c>
      <c r="L117" s="67"/>
    </row>
    <row r="118" spans="1:12" ht="15.75" thickBot="1">
      <c r="A118" s="68" t="s">
        <v>250</v>
      </c>
      <c r="B118" s="69" t="s">
        <v>462</v>
      </c>
      <c r="C118" s="69" t="s">
        <v>461</v>
      </c>
      <c r="D118" s="70">
        <v>2.7690000000000001</v>
      </c>
      <c r="E118" s="70">
        <v>2.6059999999999999</v>
      </c>
      <c r="F118" s="71">
        <v>2.6349999999999998</v>
      </c>
      <c r="G118" s="71">
        <v>2.2930000000000001</v>
      </c>
      <c r="H118" s="71">
        <v>2.2000000000000002</v>
      </c>
      <c r="I118" s="71">
        <v>2</v>
      </c>
      <c r="J118" s="71">
        <v>2</v>
      </c>
      <c r="K118" s="71">
        <v>2</v>
      </c>
      <c r="L118" s="67"/>
    </row>
    <row r="119" spans="1:12" ht="15.75" thickBot="1">
      <c r="A119" s="68" t="s">
        <v>254</v>
      </c>
      <c r="B119" s="69" t="s">
        <v>460</v>
      </c>
      <c r="C119" s="69" t="s">
        <v>461</v>
      </c>
      <c r="D119" s="70">
        <v>1.6639999999999999</v>
      </c>
      <c r="E119" s="70">
        <v>1.6930000000000001</v>
      </c>
      <c r="F119" s="71">
        <v>0.122</v>
      </c>
      <c r="G119" s="71">
        <v>0.36599999999999999</v>
      </c>
      <c r="H119" s="71">
        <v>1.109</v>
      </c>
      <c r="I119" s="71">
        <v>1.4790000000000001</v>
      </c>
      <c r="J119" s="71">
        <v>1.744</v>
      </c>
      <c r="K119" s="71">
        <v>1.86</v>
      </c>
      <c r="L119" s="67"/>
    </row>
    <row r="120" spans="1:12" ht="15.75" thickBot="1">
      <c r="A120" s="68" t="s">
        <v>254</v>
      </c>
      <c r="B120" s="69" t="s">
        <v>462</v>
      </c>
      <c r="C120" s="69" t="s">
        <v>461</v>
      </c>
      <c r="D120" s="70">
        <v>1.4930000000000001</v>
      </c>
      <c r="E120" s="70">
        <v>2.141</v>
      </c>
      <c r="F120" s="71">
        <v>1.9239999999999999</v>
      </c>
      <c r="G120" s="71">
        <v>0.96799999999999997</v>
      </c>
      <c r="H120" s="71">
        <v>0.85299999999999998</v>
      </c>
      <c r="I120" s="71">
        <v>1.2869999999999999</v>
      </c>
      <c r="J120" s="71">
        <v>1.579</v>
      </c>
      <c r="K120" s="71">
        <v>1.9139999999999999</v>
      </c>
      <c r="L120" s="67"/>
    </row>
    <row r="121" spans="1:12" ht="15.75" thickBot="1">
      <c r="A121" s="68" t="s">
        <v>485</v>
      </c>
      <c r="B121" s="69" t="s">
        <v>460</v>
      </c>
      <c r="C121" s="69" t="s">
        <v>461</v>
      </c>
      <c r="D121" s="71">
        <v>6.6120000000000001</v>
      </c>
      <c r="E121" s="71">
        <v>6.6349999999999998</v>
      </c>
      <c r="F121" s="71">
        <v>6.1139999999999999</v>
      </c>
      <c r="G121" s="71">
        <v>1.998</v>
      </c>
      <c r="H121" s="71">
        <v>2.6509999999999998</v>
      </c>
      <c r="I121" s="71">
        <v>2.5379999999999998</v>
      </c>
      <c r="J121" s="71">
        <v>2.577</v>
      </c>
      <c r="K121" s="71">
        <v>2.258</v>
      </c>
      <c r="L121" s="67"/>
    </row>
    <row r="122" spans="1:12" ht="15.75" thickBot="1">
      <c r="A122" s="68" t="s">
        <v>485</v>
      </c>
      <c r="B122" s="69" t="s">
        <v>462</v>
      </c>
      <c r="C122" s="69" t="s">
        <v>461</v>
      </c>
      <c r="D122" s="71">
        <v>0.68700000000000006</v>
      </c>
      <c r="E122" s="71">
        <v>2.302</v>
      </c>
      <c r="F122" s="71">
        <v>2.2999999999999998</v>
      </c>
      <c r="G122" s="71">
        <v>2.6</v>
      </c>
      <c r="H122" s="71">
        <v>2.8</v>
      </c>
      <c r="I122" s="71">
        <v>3</v>
      </c>
      <c r="J122" s="71">
        <v>3</v>
      </c>
      <c r="K122" s="71">
        <v>3</v>
      </c>
      <c r="L122" s="67"/>
    </row>
    <row r="123" spans="1:12" ht="15.75" thickBot="1">
      <c r="A123" s="68" t="s">
        <v>486</v>
      </c>
      <c r="B123" s="69" t="s">
        <v>460</v>
      </c>
      <c r="C123" s="69" t="s">
        <v>461</v>
      </c>
      <c r="D123" s="70">
        <v>5.5060000000000002</v>
      </c>
      <c r="E123" s="71">
        <v>3.26</v>
      </c>
      <c r="F123" s="71">
        <v>-1.619</v>
      </c>
      <c r="G123" s="71">
        <v>9.6590000000000007</v>
      </c>
      <c r="H123" s="71">
        <v>8.3209999999999997</v>
      </c>
      <c r="I123" s="71">
        <v>7.0170000000000003</v>
      </c>
      <c r="J123" s="71">
        <v>5.5880000000000001</v>
      </c>
      <c r="K123" s="71">
        <v>5.6029999999999998</v>
      </c>
      <c r="L123" s="67"/>
    </row>
    <row r="124" spans="1:12" ht="15.75" thickBot="1">
      <c r="A124" s="68" t="s">
        <v>486</v>
      </c>
      <c r="B124" s="69" t="s">
        <v>462</v>
      </c>
      <c r="C124" s="69" t="s">
        <v>461</v>
      </c>
      <c r="D124" s="70">
        <v>5.7889999999999997</v>
      </c>
      <c r="E124" s="70">
        <v>4.3819999999999997</v>
      </c>
      <c r="F124" s="71">
        <v>5</v>
      </c>
      <c r="G124" s="71">
        <v>6</v>
      </c>
      <c r="H124" s="71">
        <v>5</v>
      </c>
      <c r="I124" s="71">
        <v>5</v>
      </c>
      <c r="J124" s="71">
        <v>5</v>
      </c>
      <c r="K124" s="71">
        <v>5</v>
      </c>
      <c r="L124" s="67"/>
    </row>
    <row r="125" spans="1:12" ht="15.75" thickBot="1">
      <c r="A125" s="68" t="s">
        <v>259</v>
      </c>
      <c r="B125" s="69" t="s">
        <v>460</v>
      </c>
      <c r="C125" s="69" t="s">
        <v>461</v>
      </c>
      <c r="D125" s="70">
        <v>6.2530000000000001</v>
      </c>
      <c r="E125" s="71">
        <v>6.9530000000000003</v>
      </c>
      <c r="F125" s="71">
        <v>6.5389999999999997</v>
      </c>
      <c r="G125" s="71">
        <v>5.4729999999999999</v>
      </c>
      <c r="H125" s="71">
        <v>5.5</v>
      </c>
      <c r="I125" s="71">
        <v>5.5</v>
      </c>
      <c r="J125" s="71">
        <v>5.5</v>
      </c>
      <c r="K125" s="71">
        <v>5.5</v>
      </c>
      <c r="L125" s="67"/>
    </row>
    <row r="126" spans="1:12" ht="15.75" thickBot="1">
      <c r="A126" s="68" t="s">
        <v>259</v>
      </c>
      <c r="B126" s="69" t="s">
        <v>462</v>
      </c>
      <c r="C126" s="69" t="s">
        <v>461</v>
      </c>
      <c r="D126" s="70">
        <v>11.241</v>
      </c>
      <c r="E126" s="70">
        <v>2.0409999999999999</v>
      </c>
      <c r="F126" s="71">
        <v>3.0209999999999999</v>
      </c>
      <c r="G126" s="71">
        <v>6</v>
      </c>
      <c r="H126" s="71">
        <v>6</v>
      </c>
      <c r="I126" s="71">
        <v>6</v>
      </c>
      <c r="J126" s="71">
        <v>6</v>
      </c>
      <c r="K126" s="71">
        <v>6</v>
      </c>
      <c r="L126" s="67"/>
    </row>
    <row r="127" spans="1:12" ht="15.75" thickBot="1">
      <c r="A127" s="68" t="s">
        <v>260</v>
      </c>
      <c r="B127" s="69" t="s">
        <v>460</v>
      </c>
      <c r="C127" s="69" t="s">
        <v>461</v>
      </c>
      <c r="D127" s="70">
        <v>4.024</v>
      </c>
      <c r="E127" s="70">
        <v>3.0960000000000001</v>
      </c>
      <c r="F127" s="71">
        <v>0.93600000000000005</v>
      </c>
      <c r="G127" s="71">
        <v>0.85199999999999998</v>
      </c>
      <c r="H127" s="71">
        <v>1.3720000000000001</v>
      </c>
      <c r="I127" s="71">
        <v>1.381</v>
      </c>
      <c r="J127" s="71">
        <v>1.3280000000000001</v>
      </c>
      <c r="K127" s="71">
        <v>1.274</v>
      </c>
      <c r="L127" s="67"/>
    </row>
    <row r="128" spans="1:12" ht="15.75" thickBot="1">
      <c r="A128" s="68" t="s">
        <v>260</v>
      </c>
      <c r="B128" s="69" t="s">
        <v>462</v>
      </c>
      <c r="C128" s="69" t="s">
        <v>461</v>
      </c>
      <c r="D128" s="70">
        <v>1.8520000000000001</v>
      </c>
      <c r="E128" s="70">
        <v>2.2730000000000001</v>
      </c>
      <c r="F128" s="71">
        <v>2.1520000000000001</v>
      </c>
      <c r="G128" s="71">
        <v>1.86</v>
      </c>
      <c r="H128" s="71">
        <v>2.1</v>
      </c>
      <c r="I128" s="71">
        <v>2.1</v>
      </c>
      <c r="J128" s="71">
        <v>2.1</v>
      </c>
      <c r="K128" s="71">
        <v>2.1</v>
      </c>
      <c r="L128" s="67"/>
    </row>
    <row r="129" spans="1:12" ht="15.75" thickBot="1">
      <c r="A129" s="68" t="s">
        <v>487</v>
      </c>
      <c r="B129" s="69" t="s">
        <v>460</v>
      </c>
      <c r="C129" s="69" t="s">
        <v>461</v>
      </c>
      <c r="D129" s="70">
        <v>8.0090000000000003</v>
      </c>
      <c r="E129" s="71">
        <v>14.388999999999999</v>
      </c>
      <c r="F129" s="71">
        <v>8.18</v>
      </c>
      <c r="G129" s="71">
        <v>7.8250000000000002</v>
      </c>
      <c r="H129" s="71">
        <v>8.15</v>
      </c>
      <c r="I129" s="71">
        <v>7.484</v>
      </c>
      <c r="J129" s="71">
        <v>7.5</v>
      </c>
      <c r="K129" s="71">
        <v>7.3</v>
      </c>
      <c r="L129" s="67"/>
    </row>
    <row r="130" spans="1:12" ht="15.75" thickBot="1">
      <c r="A130" s="68" t="s">
        <v>487</v>
      </c>
      <c r="B130" s="69" t="s">
        <v>462</v>
      </c>
      <c r="C130" s="69" t="s">
        <v>461</v>
      </c>
      <c r="D130" s="70">
        <v>8.5790000000000006</v>
      </c>
      <c r="E130" s="71">
        <v>8.5790000000000006</v>
      </c>
      <c r="F130" s="71">
        <v>11.503</v>
      </c>
      <c r="G130" s="71">
        <v>9.4499999999999993</v>
      </c>
      <c r="H130" s="71">
        <v>8.9499999999999993</v>
      </c>
      <c r="I130" s="71">
        <v>8.4499999999999993</v>
      </c>
      <c r="J130" s="71">
        <v>7.95</v>
      </c>
      <c r="K130" s="71">
        <v>7.45</v>
      </c>
      <c r="L130" s="67"/>
    </row>
    <row r="131" spans="1:12" ht="15.75" thickBot="1">
      <c r="A131" s="68" t="s">
        <v>264</v>
      </c>
      <c r="B131" s="69" t="s">
        <v>460</v>
      </c>
      <c r="C131" s="69" t="s">
        <v>461</v>
      </c>
      <c r="D131" s="70">
        <v>-3.5169999999999999</v>
      </c>
      <c r="E131" s="70">
        <v>-6.9059999999999997</v>
      </c>
      <c r="F131" s="71">
        <v>-6</v>
      </c>
      <c r="G131" s="71">
        <v>-4</v>
      </c>
      <c r="H131" s="71">
        <v>0</v>
      </c>
      <c r="I131" s="71">
        <v>2.75</v>
      </c>
      <c r="J131" s="71">
        <v>3.75</v>
      </c>
      <c r="K131" s="71">
        <v>3.55</v>
      </c>
      <c r="L131" s="67"/>
    </row>
    <row r="132" spans="1:12" ht="15.75" thickBot="1">
      <c r="A132" s="68" t="s">
        <v>264</v>
      </c>
      <c r="B132" s="69" t="s">
        <v>462</v>
      </c>
      <c r="C132" s="69" t="s">
        <v>461</v>
      </c>
      <c r="D132" s="70">
        <v>5.1079999999999997</v>
      </c>
      <c r="E132" s="70">
        <v>2.2000000000000002</v>
      </c>
      <c r="F132" s="71">
        <v>0.4</v>
      </c>
      <c r="G132" s="71">
        <v>-0.73</v>
      </c>
      <c r="H132" s="71">
        <v>-0.35</v>
      </c>
      <c r="I132" s="71">
        <v>0.26400000000000001</v>
      </c>
      <c r="J132" s="71">
        <v>0.71599999999999997</v>
      </c>
      <c r="K132" s="71">
        <v>1.0589999999999999</v>
      </c>
      <c r="L132" s="67"/>
    </row>
    <row r="133" spans="1:12" ht="15.75" thickBot="1">
      <c r="A133" s="68" t="s">
        <v>488</v>
      </c>
      <c r="B133" s="69" t="s">
        <v>460</v>
      </c>
      <c r="C133" s="69" t="s">
        <v>461</v>
      </c>
      <c r="D133" s="70">
        <v>-1.268</v>
      </c>
      <c r="E133" s="70">
        <v>0.377</v>
      </c>
      <c r="F133" s="71">
        <v>0.53</v>
      </c>
      <c r="G133" s="71">
        <v>0.47899999999999998</v>
      </c>
      <c r="H133" s="71">
        <v>1.504</v>
      </c>
      <c r="I133" s="71">
        <v>2.0070000000000001</v>
      </c>
      <c r="J133" s="71">
        <v>2.528</v>
      </c>
      <c r="K133" s="71">
        <v>2.528</v>
      </c>
      <c r="L133" s="67"/>
    </row>
    <row r="134" spans="1:12" ht="15.75" thickBot="1">
      <c r="A134" s="68" t="s">
        <v>488</v>
      </c>
      <c r="B134" s="69" t="s">
        <v>462</v>
      </c>
      <c r="C134" s="69" t="s">
        <v>461</v>
      </c>
      <c r="D134" s="70">
        <v>4.2149999999999999</v>
      </c>
      <c r="E134" s="70">
        <v>3.516</v>
      </c>
      <c r="F134" s="71">
        <v>2.4</v>
      </c>
      <c r="G134" s="71">
        <v>2.2000000000000002</v>
      </c>
      <c r="H134" s="71">
        <v>2</v>
      </c>
      <c r="I134" s="71">
        <v>2</v>
      </c>
      <c r="J134" s="71">
        <v>2</v>
      </c>
      <c r="K134" s="71">
        <v>2</v>
      </c>
      <c r="L134" s="67"/>
    </row>
    <row r="135" spans="1:12" ht="15.75" thickBot="1">
      <c r="A135" s="68" t="s">
        <v>265</v>
      </c>
      <c r="B135" s="69" t="s">
        <v>460</v>
      </c>
      <c r="C135" s="69" t="s">
        <v>461</v>
      </c>
      <c r="D135" s="70">
        <v>2.91</v>
      </c>
      <c r="E135" s="70">
        <v>3.8679999999999999</v>
      </c>
      <c r="F135" s="71">
        <v>3.1</v>
      </c>
      <c r="G135" s="71">
        <v>3.2</v>
      </c>
      <c r="H135" s="71">
        <v>3.3</v>
      </c>
      <c r="I135" s="71">
        <v>3.4</v>
      </c>
      <c r="J135" s="71">
        <v>3.5</v>
      </c>
      <c r="K135" s="71">
        <v>3.5</v>
      </c>
      <c r="L135" s="67"/>
    </row>
    <row r="136" spans="1:12" ht="15.75" thickBot="1">
      <c r="A136" s="68" t="s">
        <v>265</v>
      </c>
      <c r="B136" s="69" t="s">
        <v>462</v>
      </c>
      <c r="C136" s="69" t="s">
        <v>461</v>
      </c>
      <c r="D136" s="70">
        <v>5.3959999999999999</v>
      </c>
      <c r="E136" s="70">
        <v>6.2</v>
      </c>
      <c r="F136" s="71">
        <v>4.0780000000000003</v>
      </c>
      <c r="G136" s="71">
        <v>4</v>
      </c>
      <c r="H136" s="71">
        <v>4</v>
      </c>
      <c r="I136" s="71">
        <v>4</v>
      </c>
      <c r="J136" s="71">
        <v>4</v>
      </c>
      <c r="K136" s="71">
        <v>4</v>
      </c>
      <c r="L136" s="67"/>
    </row>
    <row r="137" spans="1:12" ht="15.75" thickBot="1">
      <c r="A137" s="68" t="s">
        <v>489</v>
      </c>
      <c r="B137" s="69" t="s">
        <v>460</v>
      </c>
      <c r="C137" s="69" t="s">
        <v>461</v>
      </c>
      <c r="D137" s="71">
        <v>1.9359999999999999</v>
      </c>
      <c r="E137" s="71">
        <v>3.9089999999999998</v>
      </c>
      <c r="F137" s="71">
        <v>4.7850000000000001</v>
      </c>
      <c r="G137" s="71">
        <v>5.0090000000000003</v>
      </c>
      <c r="H137" s="71">
        <v>5.2290000000000001</v>
      </c>
      <c r="I137" s="71">
        <v>19.876999999999999</v>
      </c>
      <c r="J137" s="71">
        <v>19.739999999999998</v>
      </c>
      <c r="K137" s="71">
        <v>14.334</v>
      </c>
      <c r="L137" s="67"/>
    </row>
    <row r="138" spans="1:12" ht="15.75" thickBot="1">
      <c r="A138" s="68" t="s">
        <v>489</v>
      </c>
      <c r="B138" s="69" t="s">
        <v>462</v>
      </c>
      <c r="C138" s="69" t="s">
        <v>461</v>
      </c>
      <c r="D138" s="70">
        <v>20.803000000000001</v>
      </c>
      <c r="E138" s="70">
        <v>19.026</v>
      </c>
      <c r="F138" s="71">
        <v>12.039</v>
      </c>
      <c r="G138" s="71">
        <v>8.7309999999999999</v>
      </c>
      <c r="H138" s="71">
        <v>6.1680000000000001</v>
      </c>
      <c r="I138" s="71">
        <v>5.915</v>
      </c>
      <c r="J138" s="71">
        <v>5.915</v>
      </c>
      <c r="K138" s="71">
        <v>5.915</v>
      </c>
      <c r="L138" s="67"/>
    </row>
    <row r="139" spans="1:12" ht="15.75" thickBot="1">
      <c r="A139" s="68" t="s">
        <v>490</v>
      </c>
      <c r="B139" s="69" t="s">
        <v>460</v>
      </c>
      <c r="C139" s="69" t="s">
        <v>461</v>
      </c>
      <c r="D139" s="70">
        <v>3.4729999999999999</v>
      </c>
      <c r="E139" s="70">
        <v>5.3390000000000004</v>
      </c>
      <c r="F139" s="71">
        <v>-2.8050000000000002</v>
      </c>
      <c r="G139" s="71">
        <v>5.6719999999999997</v>
      </c>
      <c r="H139" s="71">
        <v>11.047000000000001</v>
      </c>
      <c r="I139" s="71">
        <v>5.1890000000000001</v>
      </c>
      <c r="J139" s="71">
        <v>4.6429999999999998</v>
      </c>
      <c r="K139" s="71">
        <v>4.5</v>
      </c>
      <c r="L139" s="67"/>
    </row>
    <row r="140" spans="1:12" ht="15.75" thickBot="1">
      <c r="A140" s="68" t="s">
        <v>490</v>
      </c>
      <c r="B140" s="69" t="s">
        <v>462</v>
      </c>
      <c r="C140" s="69" t="s">
        <v>461</v>
      </c>
      <c r="D140" s="70">
        <v>5.7030000000000003</v>
      </c>
      <c r="E140" s="70">
        <v>3.35</v>
      </c>
      <c r="F140" s="71">
        <v>3.3</v>
      </c>
      <c r="G140" s="71">
        <v>1.7</v>
      </c>
      <c r="H140" s="71">
        <v>3.5</v>
      </c>
      <c r="I140" s="71">
        <v>2</v>
      </c>
      <c r="J140" s="71">
        <v>2</v>
      </c>
      <c r="K140" s="71">
        <v>2</v>
      </c>
      <c r="L140" s="67"/>
    </row>
    <row r="141" spans="1:12" ht="15.75" thickBot="1">
      <c r="A141" s="68" t="s">
        <v>491</v>
      </c>
      <c r="B141" s="69" t="s">
        <v>460</v>
      </c>
      <c r="C141" s="69" t="s">
        <v>461</v>
      </c>
      <c r="D141" s="70">
        <v>4.3710000000000004</v>
      </c>
      <c r="E141" s="70">
        <v>5.4370000000000003</v>
      </c>
      <c r="F141" s="71">
        <v>3.6640000000000001</v>
      </c>
      <c r="G141" s="71">
        <v>5.4969999999999999</v>
      </c>
      <c r="H141" s="71">
        <v>6.0359999999999996</v>
      </c>
      <c r="I141" s="71">
        <v>5.7439999999999998</v>
      </c>
      <c r="J141" s="71">
        <v>3.7010000000000001</v>
      </c>
      <c r="K141" s="71">
        <v>3.3490000000000002</v>
      </c>
      <c r="L141" s="67"/>
    </row>
    <row r="142" spans="1:12" ht="15.75" thickBot="1">
      <c r="A142" s="68" t="s">
        <v>491</v>
      </c>
      <c r="B142" s="69" t="s">
        <v>462</v>
      </c>
      <c r="C142" s="69" t="s">
        <v>461</v>
      </c>
      <c r="D142" s="70">
        <v>4.5</v>
      </c>
      <c r="E142" s="70">
        <v>3.254</v>
      </c>
      <c r="F142" s="71">
        <v>4.6059999999999999</v>
      </c>
      <c r="G142" s="71">
        <v>5.9779999999999998</v>
      </c>
      <c r="H142" s="71">
        <v>5.4729999999999999</v>
      </c>
      <c r="I142" s="71">
        <v>5.2839999999999998</v>
      </c>
      <c r="J142" s="71">
        <v>4.0330000000000004</v>
      </c>
      <c r="K142" s="71">
        <v>4.0330000000000004</v>
      </c>
      <c r="L142" s="67"/>
    </row>
    <row r="143" spans="1:12" ht="15.75" thickBot="1">
      <c r="A143" s="68" t="s">
        <v>492</v>
      </c>
      <c r="B143" s="69" t="s">
        <v>460</v>
      </c>
      <c r="C143" s="69" t="s">
        <v>461</v>
      </c>
      <c r="D143" s="70">
        <v>-5.4160000000000004</v>
      </c>
      <c r="E143" s="70">
        <v>5.59</v>
      </c>
      <c r="F143" s="71">
        <v>4.5</v>
      </c>
      <c r="G143" s="71">
        <v>6.5</v>
      </c>
      <c r="H143" s="71">
        <v>6.3</v>
      </c>
      <c r="I143" s="71">
        <v>6</v>
      </c>
      <c r="J143" s="71">
        <v>5.6</v>
      </c>
      <c r="K143" s="71">
        <v>5.3</v>
      </c>
      <c r="L143" s="67"/>
    </row>
    <row r="144" spans="1:12" ht="15.75" thickBot="1">
      <c r="A144" s="68" t="s">
        <v>492</v>
      </c>
      <c r="B144" s="69" t="s">
        <v>462</v>
      </c>
      <c r="C144" s="69" t="s">
        <v>461</v>
      </c>
      <c r="D144" s="70">
        <v>4.665</v>
      </c>
      <c r="E144" s="70">
        <v>10.381</v>
      </c>
      <c r="F144" s="71">
        <v>5.9960000000000004</v>
      </c>
      <c r="G144" s="71">
        <v>5</v>
      </c>
      <c r="H144" s="71">
        <v>4.5</v>
      </c>
      <c r="I144" s="71">
        <v>4</v>
      </c>
      <c r="J144" s="71">
        <v>3.5</v>
      </c>
      <c r="K144" s="71">
        <v>3</v>
      </c>
      <c r="L144" s="67"/>
    </row>
    <row r="145" spans="1:12" ht="15.75" thickBot="1">
      <c r="A145" s="68" t="s">
        <v>270</v>
      </c>
      <c r="B145" s="69" t="s">
        <v>460</v>
      </c>
      <c r="C145" s="69" t="s">
        <v>461</v>
      </c>
      <c r="D145" s="70">
        <v>2.774</v>
      </c>
      <c r="E145" s="70">
        <v>3.6219999999999999</v>
      </c>
      <c r="F145" s="71">
        <v>3.8330000000000002</v>
      </c>
      <c r="G145" s="71">
        <v>3.556</v>
      </c>
      <c r="H145" s="71">
        <v>3.2519999999999998</v>
      </c>
      <c r="I145" s="71">
        <v>4</v>
      </c>
      <c r="J145" s="71">
        <v>4</v>
      </c>
      <c r="K145" s="71">
        <v>4</v>
      </c>
      <c r="L145" s="67"/>
    </row>
    <row r="146" spans="1:12" ht="15.75" thickBot="1">
      <c r="A146" s="68" t="s">
        <v>270</v>
      </c>
      <c r="B146" s="69" t="s">
        <v>462</v>
      </c>
      <c r="C146" s="69" t="s">
        <v>461</v>
      </c>
      <c r="D146" s="70">
        <v>6.4850000000000003</v>
      </c>
      <c r="E146" s="70">
        <v>5.6050000000000004</v>
      </c>
      <c r="F146" s="71">
        <v>6.5220000000000002</v>
      </c>
      <c r="G146" s="71">
        <v>6.4749999999999996</v>
      </c>
      <c r="H146" s="71">
        <v>6.343</v>
      </c>
      <c r="I146" s="71">
        <v>6.2709999999999999</v>
      </c>
      <c r="J146" s="71">
        <v>6.0919999999999996</v>
      </c>
      <c r="K146" s="71">
        <v>5.9219999999999997</v>
      </c>
      <c r="L146" s="67"/>
    </row>
    <row r="147" spans="1:12" ht="15.75" thickBot="1">
      <c r="A147" s="68" t="s">
        <v>493</v>
      </c>
      <c r="B147" s="69" t="s">
        <v>460</v>
      </c>
      <c r="C147" s="69" t="s">
        <v>461</v>
      </c>
      <c r="D147" s="70">
        <v>7.0940000000000003</v>
      </c>
      <c r="E147" s="70">
        <v>5.0289999999999999</v>
      </c>
      <c r="F147" s="71">
        <v>1.835</v>
      </c>
      <c r="G147" s="71">
        <v>3.4750000000000001</v>
      </c>
      <c r="H147" s="71">
        <v>4.2789999999999999</v>
      </c>
      <c r="I147" s="71">
        <v>4.3090000000000002</v>
      </c>
      <c r="J147" s="71">
        <v>4.3559999999999999</v>
      </c>
      <c r="K147" s="71">
        <v>4.3760000000000003</v>
      </c>
      <c r="L147" s="67"/>
    </row>
    <row r="148" spans="1:12" ht="15.75" thickBot="1">
      <c r="A148" s="68" t="s">
        <v>493</v>
      </c>
      <c r="B148" s="69" t="s">
        <v>462</v>
      </c>
      <c r="C148" s="69" t="s">
        <v>461</v>
      </c>
      <c r="D148" s="70">
        <v>2.9</v>
      </c>
      <c r="E148" s="70">
        <v>5.734</v>
      </c>
      <c r="F148" s="71">
        <v>3.8</v>
      </c>
      <c r="G148" s="71">
        <v>3</v>
      </c>
      <c r="H148" s="71">
        <v>3</v>
      </c>
      <c r="I148" s="71">
        <v>3</v>
      </c>
      <c r="J148" s="71">
        <v>3</v>
      </c>
      <c r="K148" s="71">
        <v>3</v>
      </c>
      <c r="L148" s="67"/>
    </row>
    <row r="149" spans="1:12" ht="15.75" thickBot="1">
      <c r="A149" s="68" t="s">
        <v>275</v>
      </c>
      <c r="B149" s="69" t="s">
        <v>460</v>
      </c>
      <c r="C149" s="69" t="s">
        <v>461</v>
      </c>
      <c r="D149" s="70">
        <v>1.27</v>
      </c>
      <c r="E149" s="70">
        <v>1.6950000000000001</v>
      </c>
      <c r="F149" s="71">
        <v>-1.0209999999999999</v>
      </c>
      <c r="G149" s="71">
        <v>0.79700000000000004</v>
      </c>
      <c r="H149" s="71">
        <v>1.5529999999999999</v>
      </c>
      <c r="I149" s="71">
        <v>1.651</v>
      </c>
      <c r="J149" s="71">
        <v>1.706</v>
      </c>
      <c r="K149" s="71">
        <v>1.823</v>
      </c>
      <c r="L149" s="67"/>
    </row>
    <row r="150" spans="1:12" ht="15.75" thickBot="1">
      <c r="A150" s="68" t="s">
        <v>275</v>
      </c>
      <c r="B150" s="69" t="s">
        <v>462</v>
      </c>
      <c r="C150" s="69" t="s">
        <v>461</v>
      </c>
      <c r="D150" s="70">
        <v>4.6500000000000004</v>
      </c>
      <c r="E150" s="70">
        <v>4.0999999999999996</v>
      </c>
      <c r="F150" s="71">
        <v>5.4</v>
      </c>
      <c r="G150" s="71">
        <v>3.5</v>
      </c>
      <c r="H150" s="71">
        <v>3</v>
      </c>
      <c r="I150" s="71">
        <v>3</v>
      </c>
      <c r="J150" s="71">
        <v>3</v>
      </c>
      <c r="K150" s="71">
        <v>3</v>
      </c>
      <c r="L150" s="67"/>
    </row>
    <row r="151" spans="1:12" ht="15.75" thickBot="1">
      <c r="A151" s="68" t="s">
        <v>279</v>
      </c>
      <c r="B151" s="69" t="s">
        <v>460</v>
      </c>
      <c r="C151" s="69" t="s">
        <v>461</v>
      </c>
      <c r="D151" s="70">
        <v>-4.024</v>
      </c>
      <c r="E151" s="70">
        <v>3.0510000000000002</v>
      </c>
      <c r="F151" s="71">
        <v>2.855</v>
      </c>
      <c r="G151" s="71">
        <v>2.5830000000000002</v>
      </c>
      <c r="H151" s="71">
        <v>2.1840000000000002</v>
      </c>
      <c r="I151" s="71">
        <v>2.71</v>
      </c>
      <c r="J151" s="71">
        <v>2.8239999999999998</v>
      </c>
      <c r="K151" s="71">
        <v>2.972</v>
      </c>
      <c r="L151" s="67"/>
    </row>
    <row r="152" spans="1:12" ht="15.75" thickBot="1">
      <c r="A152" s="68" t="s">
        <v>279</v>
      </c>
      <c r="B152" s="69" t="s">
        <v>462</v>
      </c>
      <c r="C152" s="69" t="s">
        <v>461</v>
      </c>
      <c r="D152" s="70">
        <v>2.4590000000000001</v>
      </c>
      <c r="E152" s="70">
        <v>5.2629999999999999</v>
      </c>
      <c r="F152" s="71">
        <v>5.3019999999999996</v>
      </c>
      <c r="G152" s="71">
        <v>3.6549999999999998</v>
      </c>
      <c r="H152" s="71">
        <v>2.7530000000000001</v>
      </c>
      <c r="I152" s="71">
        <v>2.4390000000000001</v>
      </c>
      <c r="J152" s="71">
        <v>2.5219999999999998</v>
      </c>
      <c r="K152" s="71">
        <v>2.4950000000000001</v>
      </c>
      <c r="L152" s="67"/>
    </row>
    <row r="153" spans="1:12" ht="15.75" thickBot="1">
      <c r="A153" s="68" t="s">
        <v>283</v>
      </c>
      <c r="B153" s="69" t="s">
        <v>460</v>
      </c>
      <c r="C153" s="69" t="s">
        <v>461</v>
      </c>
      <c r="D153" s="70">
        <v>10.092000000000001</v>
      </c>
      <c r="E153" s="70">
        <v>6.8360000000000003</v>
      </c>
      <c r="F153" s="71">
        <v>4.8600000000000003</v>
      </c>
      <c r="G153" s="71">
        <v>5.9710000000000001</v>
      </c>
      <c r="H153" s="71">
        <v>6.3890000000000002</v>
      </c>
      <c r="I153" s="71">
        <v>6.7439999999999998</v>
      </c>
      <c r="J153" s="71">
        <v>6.8849999999999998</v>
      </c>
      <c r="K153" s="71">
        <v>6.9459999999999997</v>
      </c>
      <c r="L153" s="67"/>
    </row>
    <row r="154" spans="1:12" ht="15.75" thickBot="1">
      <c r="A154" s="68" t="s">
        <v>283</v>
      </c>
      <c r="B154" s="69" t="s">
        <v>462</v>
      </c>
      <c r="C154" s="69" t="s">
        <v>461</v>
      </c>
      <c r="D154" s="70">
        <v>9.4670000000000005</v>
      </c>
      <c r="E154" s="70">
        <v>6.4859999999999998</v>
      </c>
      <c r="F154" s="71">
        <v>12.987</v>
      </c>
      <c r="G154" s="71">
        <v>9.3279999999999994</v>
      </c>
      <c r="H154" s="71">
        <v>6.6369999999999996</v>
      </c>
      <c r="I154" s="71">
        <v>5.6539999999999999</v>
      </c>
      <c r="J154" s="71">
        <v>4.9939999999999998</v>
      </c>
      <c r="K154" s="71">
        <v>5.0430000000000001</v>
      </c>
      <c r="L154" s="67"/>
    </row>
    <row r="155" spans="1:12" ht="15.75" thickBot="1">
      <c r="A155" s="68" t="s">
        <v>284</v>
      </c>
      <c r="B155" s="69" t="s">
        <v>460</v>
      </c>
      <c r="C155" s="69" t="s">
        <v>461</v>
      </c>
      <c r="D155" s="70">
        <v>6.1950000000000003</v>
      </c>
      <c r="E155" s="70">
        <v>6.4569999999999999</v>
      </c>
      <c r="F155" s="71">
        <v>6.04</v>
      </c>
      <c r="G155" s="71">
        <v>6.3390000000000004</v>
      </c>
      <c r="H155" s="71">
        <v>6.54</v>
      </c>
      <c r="I155" s="71">
        <v>6.64</v>
      </c>
      <c r="J155" s="71">
        <v>6.74</v>
      </c>
      <c r="K155" s="71">
        <v>6.85</v>
      </c>
      <c r="L155" s="67"/>
    </row>
    <row r="156" spans="1:12" ht="15.75" thickBot="1">
      <c r="A156" s="68" t="s">
        <v>284</v>
      </c>
      <c r="B156" s="69" t="s">
        <v>462</v>
      </c>
      <c r="C156" s="69" t="s">
        <v>461</v>
      </c>
      <c r="D156" s="70">
        <v>6.9550000000000001</v>
      </c>
      <c r="E156" s="70">
        <v>3.7869999999999999</v>
      </c>
      <c r="F156" s="71">
        <v>4.9589999999999996</v>
      </c>
      <c r="G156" s="71">
        <v>5.0659999999999998</v>
      </c>
      <c r="H156" s="71">
        <v>4.7539999999999996</v>
      </c>
      <c r="I156" s="71">
        <v>4.5149999999999997</v>
      </c>
      <c r="J156" s="71">
        <v>4.1790000000000003</v>
      </c>
      <c r="K156" s="71">
        <v>4.0220000000000002</v>
      </c>
      <c r="L156" s="67"/>
    </row>
    <row r="157" spans="1:12" ht="15.75" thickBot="1">
      <c r="A157" s="68" t="s">
        <v>494</v>
      </c>
      <c r="B157" s="69" t="s">
        <v>460</v>
      </c>
      <c r="C157" s="69" t="s">
        <v>461</v>
      </c>
      <c r="D157" s="70">
        <v>5.899</v>
      </c>
      <c r="E157" s="71">
        <v>2.036</v>
      </c>
      <c r="F157" s="71">
        <v>-0.94</v>
      </c>
      <c r="G157" s="71">
        <v>0.75800000000000001</v>
      </c>
      <c r="H157" s="71">
        <v>1.4770000000000001</v>
      </c>
      <c r="I157" s="71">
        <v>1.7869999999999999</v>
      </c>
      <c r="J157" s="71">
        <v>1.9970000000000001</v>
      </c>
      <c r="K157" s="71">
        <v>2.0019999999999998</v>
      </c>
      <c r="L157" s="67"/>
    </row>
    <row r="158" spans="1:12" ht="15.75" thickBot="1">
      <c r="A158" s="68" t="s">
        <v>494</v>
      </c>
      <c r="B158" s="69" t="s">
        <v>462</v>
      </c>
      <c r="C158" s="69" t="s">
        <v>461</v>
      </c>
      <c r="D158" s="70">
        <v>19.899999999999999</v>
      </c>
      <c r="E158" s="70">
        <v>21.8</v>
      </c>
      <c r="F158" s="71">
        <v>22</v>
      </c>
      <c r="G158" s="71">
        <v>20.3</v>
      </c>
      <c r="H158" s="71">
        <v>15.5</v>
      </c>
      <c r="I158" s="71">
        <v>15.7</v>
      </c>
      <c r="J158" s="71">
        <v>15.7</v>
      </c>
      <c r="K158" s="71">
        <v>15.7</v>
      </c>
      <c r="L158" s="67"/>
    </row>
    <row r="159" spans="1:12" ht="15.75" thickBot="1">
      <c r="A159" s="68" t="s">
        <v>495</v>
      </c>
      <c r="B159" s="69" t="s">
        <v>460</v>
      </c>
      <c r="C159" s="69" t="s">
        <v>461</v>
      </c>
      <c r="D159" s="70">
        <v>2.9649999999999999</v>
      </c>
      <c r="E159" s="71">
        <v>8.8559999999999999</v>
      </c>
      <c r="F159" s="71">
        <v>10.17</v>
      </c>
      <c r="G159" s="71">
        <v>14.666</v>
      </c>
      <c r="H159" s="71">
        <v>11.968</v>
      </c>
      <c r="I159" s="71">
        <v>9.2989999999999995</v>
      </c>
      <c r="J159" s="71">
        <v>9.3629999999999995</v>
      </c>
      <c r="K159" s="71">
        <v>9.35</v>
      </c>
      <c r="L159" s="67"/>
    </row>
    <row r="160" spans="1:12" ht="15.75" thickBot="1">
      <c r="A160" s="68" t="s">
        <v>495</v>
      </c>
      <c r="B160" s="69" t="s">
        <v>462</v>
      </c>
      <c r="C160" s="69" t="s">
        <v>461</v>
      </c>
      <c r="D160" s="70">
        <v>3.3119999999999998</v>
      </c>
      <c r="E160" s="71">
        <v>6.02</v>
      </c>
      <c r="F160" s="71">
        <v>6</v>
      </c>
      <c r="G160" s="71">
        <v>5.5</v>
      </c>
      <c r="H160" s="71">
        <v>4.5</v>
      </c>
      <c r="I160" s="71">
        <v>4</v>
      </c>
      <c r="J160" s="71">
        <v>4</v>
      </c>
      <c r="K160" s="71">
        <v>4</v>
      </c>
      <c r="L160" s="67"/>
    </row>
    <row r="161" spans="1:12" ht="15.75" thickBot="1">
      <c r="A161" s="68" t="s">
        <v>288</v>
      </c>
      <c r="B161" s="69" t="s">
        <v>460</v>
      </c>
      <c r="C161" s="69" t="s">
        <v>461</v>
      </c>
      <c r="D161" s="70">
        <v>-0.76600000000000001</v>
      </c>
      <c r="E161" s="70">
        <v>1.431</v>
      </c>
      <c r="F161" s="71">
        <v>0.35299999999999998</v>
      </c>
      <c r="G161" s="71">
        <v>1.3939999999999999</v>
      </c>
      <c r="H161" s="71">
        <v>2.4860000000000002</v>
      </c>
      <c r="I161" s="71">
        <v>2.8359999999999999</v>
      </c>
      <c r="J161" s="71">
        <v>2.8460000000000001</v>
      </c>
      <c r="K161" s="71">
        <v>2.8690000000000002</v>
      </c>
      <c r="L161" s="67"/>
    </row>
    <row r="162" spans="1:12" ht="15.75" thickBot="1">
      <c r="A162" s="68" t="s">
        <v>288</v>
      </c>
      <c r="B162" s="69" t="s">
        <v>462</v>
      </c>
      <c r="C162" s="69" t="s">
        <v>461</v>
      </c>
      <c r="D162" s="70">
        <v>-0.189</v>
      </c>
      <c r="E162" s="70">
        <v>1.4219999999999999</v>
      </c>
      <c r="F162" s="71">
        <v>1.1970000000000001</v>
      </c>
      <c r="G162" s="71">
        <v>1</v>
      </c>
      <c r="H162" s="71">
        <v>2.0449999999999999</v>
      </c>
      <c r="I162" s="71">
        <v>1.718</v>
      </c>
      <c r="J162" s="71">
        <v>1.821</v>
      </c>
      <c r="K162" s="71">
        <v>1.8080000000000001</v>
      </c>
      <c r="L162" s="67"/>
    </row>
    <row r="163" spans="1:12" ht="15.75" thickBot="1">
      <c r="A163" s="68" t="s">
        <v>294</v>
      </c>
      <c r="B163" s="69" t="s">
        <v>460</v>
      </c>
      <c r="C163" s="69" t="s">
        <v>461</v>
      </c>
      <c r="D163" s="70">
        <v>5.7409999999999997</v>
      </c>
      <c r="E163" s="70">
        <v>4.6050000000000004</v>
      </c>
      <c r="F163" s="71">
        <v>2.9460000000000002</v>
      </c>
      <c r="G163" s="71">
        <v>3.2069999999999999</v>
      </c>
      <c r="H163" s="71">
        <v>3.5819999999999999</v>
      </c>
      <c r="I163" s="71">
        <v>3.7090000000000001</v>
      </c>
      <c r="J163" s="71">
        <v>3.8210000000000002</v>
      </c>
      <c r="K163" s="71">
        <v>3.6640000000000001</v>
      </c>
      <c r="L163" s="67"/>
    </row>
    <row r="164" spans="1:12" ht="15.75" thickBot="1">
      <c r="A164" s="68" t="s">
        <v>294</v>
      </c>
      <c r="B164" s="69" t="s">
        <v>462</v>
      </c>
      <c r="C164" s="69" t="s">
        <v>461</v>
      </c>
      <c r="D164" s="70">
        <v>2.621</v>
      </c>
      <c r="E164" s="70">
        <v>2.161</v>
      </c>
      <c r="F164" s="71">
        <v>2.0289999999999999</v>
      </c>
      <c r="G164" s="71">
        <v>2.0470000000000002</v>
      </c>
      <c r="H164" s="71">
        <v>2.0470000000000002</v>
      </c>
      <c r="I164" s="71">
        <v>2.0470000000000002</v>
      </c>
      <c r="J164" s="71">
        <v>2.0470000000000002</v>
      </c>
      <c r="K164" s="71">
        <v>2.0470000000000002</v>
      </c>
      <c r="L164" s="67"/>
    </row>
    <row r="165" spans="1:12" ht="15.75" thickBot="1">
      <c r="A165" s="68" t="s">
        <v>20</v>
      </c>
      <c r="B165" s="69" t="s">
        <v>460</v>
      </c>
      <c r="C165" s="69" t="s">
        <v>461</v>
      </c>
      <c r="D165" s="70">
        <v>1.804</v>
      </c>
      <c r="E165" s="70">
        <v>0.43099999999999999</v>
      </c>
      <c r="F165" s="71">
        <v>-2.2919999999999998</v>
      </c>
      <c r="G165" s="71">
        <v>-0.73</v>
      </c>
      <c r="H165" s="71">
        <v>0.501</v>
      </c>
      <c r="I165" s="71">
        <v>1.2030000000000001</v>
      </c>
      <c r="J165" s="71">
        <v>1.4</v>
      </c>
      <c r="K165" s="71">
        <v>1.401</v>
      </c>
      <c r="L165" s="67"/>
    </row>
    <row r="166" spans="1:12" ht="15.75" thickBot="1">
      <c r="A166" s="68" t="s">
        <v>20</v>
      </c>
      <c r="B166" s="69" t="s">
        <v>462</v>
      </c>
      <c r="C166" s="69" t="s">
        <v>461</v>
      </c>
      <c r="D166" s="70">
        <v>2.093</v>
      </c>
      <c r="E166" s="70">
        <v>3.6539999999999999</v>
      </c>
      <c r="F166" s="71">
        <v>1.518</v>
      </c>
      <c r="G166" s="71">
        <v>2.9180000000000001</v>
      </c>
      <c r="H166" s="71">
        <v>0.98</v>
      </c>
      <c r="I166" s="71">
        <v>1.1499999999999999</v>
      </c>
      <c r="J166" s="71">
        <v>1.3</v>
      </c>
      <c r="K166" s="71">
        <v>1.41</v>
      </c>
      <c r="L166" s="67"/>
    </row>
    <row r="167" spans="1:12" ht="15.75" thickBot="1">
      <c r="A167" s="68" t="s">
        <v>300</v>
      </c>
      <c r="B167" s="69" t="s">
        <v>460</v>
      </c>
      <c r="C167" s="69" t="s">
        <v>461</v>
      </c>
      <c r="D167" s="70">
        <v>-1.51</v>
      </c>
      <c r="E167" s="70">
        <v>1.2729999999999999</v>
      </c>
      <c r="F167" s="71">
        <v>0.88800000000000001</v>
      </c>
      <c r="G167" s="71">
        <v>1.048</v>
      </c>
      <c r="H167" s="71">
        <v>1.175</v>
      </c>
      <c r="I167" s="71">
        <v>1.2749999999999999</v>
      </c>
      <c r="J167" s="71">
        <v>1.3</v>
      </c>
      <c r="K167" s="71">
        <v>1.45</v>
      </c>
      <c r="L167" s="67"/>
    </row>
    <row r="168" spans="1:12" ht="15.75" thickBot="1">
      <c r="A168" s="68" t="s">
        <v>300</v>
      </c>
      <c r="B168" s="69" t="s">
        <v>462</v>
      </c>
      <c r="C168" s="69" t="s">
        <v>461</v>
      </c>
      <c r="D168" s="70">
        <v>11.773</v>
      </c>
      <c r="E168" s="70">
        <v>6.008</v>
      </c>
      <c r="F168" s="71">
        <v>7.2290000000000001</v>
      </c>
      <c r="G168" s="71">
        <v>7.96</v>
      </c>
      <c r="H168" s="71">
        <v>6.008</v>
      </c>
      <c r="I168" s="71">
        <v>6.008</v>
      </c>
      <c r="J168" s="71">
        <v>6.008</v>
      </c>
      <c r="K168" s="71">
        <v>6.008</v>
      </c>
      <c r="L168" s="67"/>
    </row>
    <row r="169" spans="1:12" ht="15.75" thickBot="1">
      <c r="A169" s="68" t="s">
        <v>301</v>
      </c>
      <c r="B169" s="69" t="s">
        <v>460</v>
      </c>
      <c r="C169" s="69" t="s">
        <v>461</v>
      </c>
      <c r="D169" s="70">
        <v>4.5330000000000004</v>
      </c>
      <c r="E169" s="70">
        <v>-0.755</v>
      </c>
      <c r="F169" s="71">
        <v>2.2240000000000002</v>
      </c>
      <c r="G169" s="71">
        <v>1.234</v>
      </c>
      <c r="H169" s="71">
        <v>1.0760000000000001</v>
      </c>
      <c r="I169" s="71">
        <v>1.151</v>
      </c>
      <c r="J169" s="71">
        <v>1.07</v>
      </c>
      <c r="K169" s="71">
        <v>1.089</v>
      </c>
      <c r="L169" s="67"/>
    </row>
    <row r="170" spans="1:12" ht="15.75" thickBot="1">
      <c r="A170" s="68" t="s">
        <v>301</v>
      </c>
      <c r="B170" s="69" t="s">
        <v>462</v>
      </c>
      <c r="C170" s="69" t="s">
        <v>461</v>
      </c>
      <c r="D170" s="70">
        <v>-0.27700000000000002</v>
      </c>
      <c r="E170" s="70">
        <v>-0.28799999999999998</v>
      </c>
      <c r="F170" s="71">
        <v>-0.16600000000000001</v>
      </c>
      <c r="G170" s="71">
        <v>0.32</v>
      </c>
      <c r="H170" s="71">
        <v>2.6389999999999998</v>
      </c>
      <c r="I170" s="71">
        <v>2.04</v>
      </c>
      <c r="J170" s="71">
        <v>0.34</v>
      </c>
      <c r="K170" s="71">
        <v>1.044</v>
      </c>
      <c r="L170" s="67"/>
    </row>
    <row r="171" spans="1:12" ht="15.75" thickBot="1">
      <c r="A171" s="68" t="s">
        <v>305</v>
      </c>
      <c r="B171" s="69" t="s">
        <v>460</v>
      </c>
      <c r="C171" s="69" t="s">
        <v>461</v>
      </c>
      <c r="D171" s="70">
        <v>2.3109999999999999</v>
      </c>
      <c r="E171" s="70">
        <v>2.589</v>
      </c>
      <c r="F171" s="71">
        <v>3</v>
      </c>
      <c r="G171" s="71">
        <v>3.5</v>
      </c>
      <c r="H171" s="71">
        <v>4</v>
      </c>
      <c r="I171" s="71">
        <v>4.5</v>
      </c>
      <c r="J171" s="71">
        <v>4.5</v>
      </c>
      <c r="K171" s="71">
        <v>4.5</v>
      </c>
      <c r="L171" s="67"/>
    </row>
    <row r="172" spans="1:12" ht="15.75" thickBot="1">
      <c r="A172" s="68" t="s">
        <v>305</v>
      </c>
      <c r="B172" s="69" t="s">
        <v>462</v>
      </c>
      <c r="C172" s="69" t="s">
        <v>461</v>
      </c>
      <c r="D172" s="70">
        <v>6.1070000000000002</v>
      </c>
      <c r="E172" s="70">
        <v>3.2589999999999999</v>
      </c>
      <c r="F172" s="71">
        <v>4.3869999999999996</v>
      </c>
      <c r="G172" s="71">
        <v>4.173</v>
      </c>
      <c r="H172" s="71">
        <v>3.137</v>
      </c>
      <c r="I172" s="71">
        <v>2.899</v>
      </c>
      <c r="J172" s="71">
        <v>2.891</v>
      </c>
      <c r="K172" s="71">
        <v>3.05</v>
      </c>
      <c r="L172" s="67"/>
    </row>
    <row r="173" spans="1:12" ht="15.75" thickBot="1">
      <c r="A173" s="68" t="s">
        <v>306</v>
      </c>
      <c r="B173" s="69" t="s">
        <v>460</v>
      </c>
      <c r="C173" s="69" t="s">
        <v>461</v>
      </c>
      <c r="D173" s="70">
        <v>7.2510000000000003</v>
      </c>
      <c r="E173" s="70">
        <v>7.5</v>
      </c>
      <c r="F173" s="71">
        <v>5.4649999999999999</v>
      </c>
      <c r="G173" s="71">
        <v>5.7</v>
      </c>
      <c r="H173" s="71">
        <v>6</v>
      </c>
      <c r="I173" s="71">
        <v>6.3</v>
      </c>
      <c r="J173" s="71">
        <v>6.3</v>
      </c>
      <c r="K173" s="71">
        <v>6.3</v>
      </c>
      <c r="L173" s="67"/>
    </row>
    <row r="174" spans="1:12" ht="15.75" thickBot="1">
      <c r="A174" s="68" t="s">
        <v>306</v>
      </c>
      <c r="B174" s="69" t="s">
        <v>462</v>
      </c>
      <c r="C174" s="69" t="s">
        <v>461</v>
      </c>
      <c r="D174" s="70">
        <v>7.8</v>
      </c>
      <c r="E174" s="70">
        <v>7.4</v>
      </c>
      <c r="F174" s="71">
        <v>5.6719999999999997</v>
      </c>
      <c r="G174" s="71">
        <v>6.5910000000000002</v>
      </c>
      <c r="H174" s="71">
        <v>6.3789999999999996</v>
      </c>
      <c r="I174" s="71">
        <v>6.2729999999999997</v>
      </c>
      <c r="J174" s="71">
        <v>5.9569999999999999</v>
      </c>
      <c r="K174" s="71">
        <v>5.9569999999999999</v>
      </c>
      <c r="L174" s="67"/>
    </row>
    <row r="175" spans="1:12" ht="15.75" thickBot="1">
      <c r="A175" s="68" t="s">
        <v>310</v>
      </c>
      <c r="B175" s="69" t="s">
        <v>460</v>
      </c>
      <c r="C175" s="69" t="s">
        <v>461</v>
      </c>
      <c r="D175" s="70">
        <v>5.7640000000000002</v>
      </c>
      <c r="E175" s="71">
        <v>4.3769999999999998</v>
      </c>
      <c r="F175" s="71">
        <v>5.125</v>
      </c>
      <c r="G175" s="71">
        <v>5.6239999999999997</v>
      </c>
      <c r="H175" s="71">
        <v>6.3949999999999996</v>
      </c>
      <c r="I175" s="71">
        <v>6.1870000000000003</v>
      </c>
      <c r="J175" s="71">
        <v>6.1790000000000003</v>
      </c>
      <c r="K175" s="71">
        <v>5.931</v>
      </c>
      <c r="L175" s="67"/>
    </row>
    <row r="176" spans="1:12" ht="15.75" thickBot="1">
      <c r="A176" s="68" t="s">
        <v>310</v>
      </c>
      <c r="B176" s="69" t="s">
        <v>462</v>
      </c>
      <c r="C176" s="69" t="s">
        <v>461</v>
      </c>
      <c r="D176" s="70">
        <v>4.5090000000000003</v>
      </c>
      <c r="E176" s="71">
        <v>18.559999999999999</v>
      </c>
      <c r="F176" s="71">
        <v>7.0259999999999998</v>
      </c>
      <c r="G176" s="71">
        <v>7</v>
      </c>
      <c r="H176" s="71">
        <v>5</v>
      </c>
      <c r="I176" s="71">
        <v>5</v>
      </c>
      <c r="J176" s="71">
        <v>5</v>
      </c>
      <c r="K176" s="71">
        <v>5</v>
      </c>
      <c r="L176" s="67"/>
    </row>
    <row r="177" spans="1:12" ht="15.75" thickBot="1">
      <c r="A177" s="68" t="s">
        <v>496</v>
      </c>
      <c r="B177" s="69" t="s">
        <v>460</v>
      </c>
      <c r="C177" s="69" t="s">
        <v>461</v>
      </c>
      <c r="D177" s="71">
        <v>1.4</v>
      </c>
      <c r="E177" s="71">
        <v>1.8</v>
      </c>
      <c r="F177" s="71">
        <v>2.5</v>
      </c>
      <c r="G177" s="71">
        <v>2.5</v>
      </c>
      <c r="H177" s="71">
        <v>1.96</v>
      </c>
      <c r="I177" s="71">
        <v>1.96</v>
      </c>
      <c r="J177" s="71">
        <v>1.96</v>
      </c>
      <c r="K177" s="71">
        <v>1.96</v>
      </c>
      <c r="L177" s="67"/>
    </row>
    <row r="178" spans="1:12" ht="15.75" thickBot="1">
      <c r="A178" s="68" t="s">
        <v>496</v>
      </c>
      <c r="B178" s="69" t="s">
        <v>462</v>
      </c>
      <c r="C178" s="69" t="s">
        <v>461</v>
      </c>
      <c r="D178" s="70">
        <v>-1.379</v>
      </c>
      <c r="E178" s="71">
        <v>2.8</v>
      </c>
      <c r="F178" s="71">
        <v>2.5</v>
      </c>
      <c r="G178" s="71">
        <v>3</v>
      </c>
      <c r="H178" s="71">
        <v>3</v>
      </c>
      <c r="I178" s="71">
        <v>2.5</v>
      </c>
      <c r="J178" s="71">
        <v>2.5</v>
      </c>
      <c r="K178" s="71">
        <v>2.5</v>
      </c>
      <c r="L178" s="67"/>
    </row>
    <row r="179" spans="1:12" ht="15.75" thickBot="1">
      <c r="A179" s="68" t="s">
        <v>311</v>
      </c>
      <c r="B179" s="69" t="s">
        <v>460</v>
      </c>
      <c r="C179" s="69" t="s">
        <v>461</v>
      </c>
      <c r="D179" s="70">
        <v>6.32</v>
      </c>
      <c r="E179" s="70">
        <v>3.6339999999999999</v>
      </c>
      <c r="F179" s="71">
        <v>2.6880000000000002</v>
      </c>
      <c r="G179" s="71">
        <v>3.625</v>
      </c>
      <c r="H179" s="71">
        <v>3.9510000000000001</v>
      </c>
      <c r="I179" s="71">
        <v>3.9510000000000001</v>
      </c>
      <c r="J179" s="71">
        <v>3.952</v>
      </c>
      <c r="K179" s="71">
        <v>3.9670000000000001</v>
      </c>
      <c r="L179" s="67"/>
    </row>
    <row r="180" spans="1:12" ht="15.75" thickBot="1">
      <c r="A180" s="68" t="s">
        <v>311</v>
      </c>
      <c r="B180" s="69" t="s">
        <v>462</v>
      </c>
      <c r="C180" s="69" t="s">
        <v>461</v>
      </c>
      <c r="D180" s="70">
        <v>3.0339999999999998</v>
      </c>
      <c r="E180" s="70">
        <v>4.1580000000000004</v>
      </c>
      <c r="F180" s="71">
        <v>2.2000000000000002</v>
      </c>
      <c r="G180" s="71">
        <v>3</v>
      </c>
      <c r="H180" s="71">
        <v>3</v>
      </c>
      <c r="I180" s="71">
        <v>3</v>
      </c>
      <c r="J180" s="71">
        <v>3</v>
      </c>
      <c r="K180" s="71">
        <v>3</v>
      </c>
      <c r="L180" s="67"/>
    </row>
    <row r="181" spans="1:12" ht="15.75" thickBot="1">
      <c r="A181" s="68" t="s">
        <v>497</v>
      </c>
      <c r="B181" s="69" t="s">
        <v>460</v>
      </c>
      <c r="C181" s="69" t="s">
        <v>461</v>
      </c>
      <c r="D181" s="70">
        <v>3.8959999999999999</v>
      </c>
      <c r="E181" s="71">
        <v>4.9550000000000001</v>
      </c>
      <c r="F181" s="71">
        <v>3.76</v>
      </c>
      <c r="G181" s="71">
        <v>4.0999999999999996</v>
      </c>
      <c r="H181" s="71">
        <v>3.24</v>
      </c>
      <c r="I181" s="71">
        <v>5</v>
      </c>
      <c r="J181" s="71">
        <v>5</v>
      </c>
      <c r="K181" s="71">
        <v>4.5999999999999996</v>
      </c>
      <c r="L181" s="67"/>
    </row>
    <row r="182" spans="1:12" ht="15.75" thickBot="1">
      <c r="A182" s="68" t="s">
        <v>497</v>
      </c>
      <c r="B182" s="69" t="s">
        <v>462</v>
      </c>
      <c r="C182" s="69" t="s">
        <v>461</v>
      </c>
      <c r="D182" s="70">
        <v>6.577</v>
      </c>
      <c r="E182" s="70">
        <v>3.55</v>
      </c>
      <c r="F182" s="71">
        <v>1.002</v>
      </c>
      <c r="G182" s="71">
        <v>1.8859999999999999</v>
      </c>
      <c r="H182" s="71">
        <v>0.95099999999999996</v>
      </c>
      <c r="I182" s="71">
        <v>1.74</v>
      </c>
      <c r="J182" s="71">
        <v>0.79600000000000004</v>
      </c>
      <c r="K182" s="71">
        <v>1.653</v>
      </c>
      <c r="L182" s="67"/>
    </row>
    <row r="183" spans="1:12" ht="15.75" thickBot="1">
      <c r="A183" s="68" t="s">
        <v>314</v>
      </c>
      <c r="B183" s="69" t="s">
        <v>460</v>
      </c>
      <c r="C183" s="69" t="s">
        <v>461</v>
      </c>
      <c r="D183" s="70">
        <v>2.5169999999999999</v>
      </c>
      <c r="E183" s="70">
        <v>8.157</v>
      </c>
      <c r="F183" s="71">
        <v>6.3470000000000004</v>
      </c>
      <c r="G183" s="71">
        <v>1.881</v>
      </c>
      <c r="H183" s="71">
        <v>3.2610000000000001</v>
      </c>
      <c r="I183" s="71">
        <v>3.867</v>
      </c>
      <c r="J183" s="71">
        <v>3.8959999999999999</v>
      </c>
      <c r="K183" s="71">
        <v>3.923</v>
      </c>
      <c r="L183" s="67"/>
    </row>
    <row r="184" spans="1:12" ht="15.75" thickBot="1">
      <c r="A184" s="68" t="s">
        <v>314</v>
      </c>
      <c r="B184" s="69" t="s">
        <v>462</v>
      </c>
      <c r="C184" s="69" t="s">
        <v>461</v>
      </c>
      <c r="D184" s="70">
        <v>4.0090000000000003</v>
      </c>
      <c r="E184" s="70">
        <v>4.7469999999999999</v>
      </c>
      <c r="F184" s="71">
        <v>4.29</v>
      </c>
      <c r="G184" s="71">
        <v>4.0919999999999996</v>
      </c>
      <c r="H184" s="71">
        <v>3.9249999999999998</v>
      </c>
      <c r="I184" s="71">
        <v>4.0220000000000002</v>
      </c>
      <c r="J184" s="71">
        <v>4.0720000000000001</v>
      </c>
      <c r="K184" s="71">
        <v>4.1239999999999997</v>
      </c>
      <c r="L184" s="67"/>
    </row>
    <row r="185" spans="1:12" ht="15.75" thickBot="1">
      <c r="A185" s="68" t="s">
        <v>498</v>
      </c>
      <c r="B185" s="69" t="s">
        <v>460</v>
      </c>
      <c r="C185" s="69" t="s">
        <v>461</v>
      </c>
      <c r="D185" s="70">
        <v>-0.47199999999999998</v>
      </c>
      <c r="E185" s="70">
        <v>5.6829999999999998</v>
      </c>
      <c r="F185" s="71">
        <v>1.0029999999999999</v>
      </c>
      <c r="G185" s="71">
        <v>8.5399999999999991</v>
      </c>
      <c r="H185" s="71">
        <v>7.5</v>
      </c>
      <c r="I185" s="71">
        <v>3.2669999999999999</v>
      </c>
      <c r="J185" s="71">
        <v>5</v>
      </c>
      <c r="K185" s="71">
        <v>5.0039999999999996</v>
      </c>
      <c r="L185" s="67"/>
    </row>
    <row r="186" spans="1:12" ht="15.75" thickBot="1">
      <c r="A186" s="68" t="s">
        <v>498</v>
      </c>
      <c r="B186" s="69" t="s">
        <v>462</v>
      </c>
      <c r="C186" s="69" t="s">
        <v>461</v>
      </c>
      <c r="D186" s="70">
        <v>18.931999999999999</v>
      </c>
      <c r="E186" s="70">
        <v>5.7080000000000002</v>
      </c>
      <c r="F186" s="71">
        <v>8.0009999999999994</v>
      </c>
      <c r="G186" s="71">
        <v>7.532</v>
      </c>
      <c r="H186" s="71">
        <v>7.1349999999999998</v>
      </c>
      <c r="I186" s="71">
        <v>6.024</v>
      </c>
      <c r="J186" s="71">
        <v>6.0010000000000003</v>
      </c>
      <c r="K186" s="71">
        <v>5.9859999999999998</v>
      </c>
      <c r="L186" s="67"/>
    </row>
    <row r="187" spans="1:12" ht="15.75" thickBot="1">
      <c r="A187" s="68" t="s">
        <v>499</v>
      </c>
      <c r="B187" s="69" t="s">
        <v>460</v>
      </c>
      <c r="C187" s="69" t="s">
        <v>461</v>
      </c>
      <c r="D187" s="70">
        <v>8.0839999999999996</v>
      </c>
      <c r="E187" s="70">
        <v>8.0410000000000004</v>
      </c>
      <c r="F187" s="71">
        <v>8.2910000000000004</v>
      </c>
      <c r="G187" s="71">
        <v>8.0500000000000007</v>
      </c>
      <c r="H187" s="71">
        <v>7.7350000000000003</v>
      </c>
      <c r="I187" s="71">
        <v>7.7759999999999998</v>
      </c>
      <c r="J187" s="71">
        <v>7.9</v>
      </c>
      <c r="K187" s="71">
        <v>7.8</v>
      </c>
      <c r="L187" s="67"/>
    </row>
    <row r="188" spans="1:12" ht="15.75" thickBot="1">
      <c r="A188" s="68" t="s">
        <v>499</v>
      </c>
      <c r="B188" s="69" t="s">
        <v>462</v>
      </c>
      <c r="C188" s="69" t="s">
        <v>461</v>
      </c>
      <c r="D188" s="70">
        <v>5.7629999999999999</v>
      </c>
      <c r="E188" s="70">
        <v>7.6989999999999998</v>
      </c>
      <c r="F188" s="71">
        <v>5.2720000000000002</v>
      </c>
      <c r="G188" s="71">
        <v>6.173</v>
      </c>
      <c r="H188" s="71">
        <v>4.8600000000000003</v>
      </c>
      <c r="I188" s="71">
        <v>4.4939999999999998</v>
      </c>
      <c r="J188" s="71">
        <v>4.1890000000000001</v>
      </c>
      <c r="K188" s="71">
        <v>4.2</v>
      </c>
      <c r="L188" s="67"/>
    </row>
    <row r="189" spans="1:12" ht="15.75" thickBot="1">
      <c r="A189" s="68" t="s">
        <v>315</v>
      </c>
      <c r="B189" s="69" t="s">
        <v>460</v>
      </c>
      <c r="C189" s="69" t="s">
        <v>461</v>
      </c>
      <c r="D189" s="70">
        <v>-0.33500000000000002</v>
      </c>
      <c r="E189" s="70">
        <v>5.4690000000000003</v>
      </c>
      <c r="F189" s="71">
        <v>4.452</v>
      </c>
      <c r="G189" s="71">
        <v>3.456</v>
      </c>
      <c r="H189" s="71">
        <v>4.1550000000000002</v>
      </c>
      <c r="I189" s="71">
        <v>4.1639999999999997</v>
      </c>
      <c r="J189" s="71">
        <v>4.0140000000000002</v>
      </c>
      <c r="K189" s="71">
        <v>4.0439999999999996</v>
      </c>
      <c r="L189" s="67"/>
    </row>
    <row r="190" spans="1:12" ht="15.75" thickBot="1">
      <c r="A190" s="68" t="s">
        <v>315</v>
      </c>
      <c r="B190" s="69" t="s">
        <v>462</v>
      </c>
      <c r="C190" s="69" t="s">
        <v>461</v>
      </c>
      <c r="D190" s="70">
        <v>2.3980000000000001</v>
      </c>
      <c r="E190" s="70">
        <v>3.879</v>
      </c>
      <c r="F190" s="71">
        <v>2.0990000000000002</v>
      </c>
      <c r="G190" s="71">
        <v>2.0419999999999998</v>
      </c>
      <c r="H190" s="71">
        <v>2.2010000000000001</v>
      </c>
      <c r="I190" s="71">
        <v>2.2000000000000002</v>
      </c>
      <c r="J190" s="71">
        <v>2.2440000000000002</v>
      </c>
      <c r="K190" s="71">
        <v>2.2440000000000002</v>
      </c>
      <c r="L190" s="67"/>
    </row>
    <row r="191" spans="1:12" ht="15.75" thickBot="1">
      <c r="A191" s="68" t="s">
        <v>319</v>
      </c>
      <c r="B191" s="69" t="s">
        <v>460</v>
      </c>
      <c r="C191" s="69" t="s">
        <v>461</v>
      </c>
      <c r="D191" s="70">
        <v>7</v>
      </c>
      <c r="E191" s="71">
        <v>1.5</v>
      </c>
      <c r="F191" s="71">
        <v>2</v>
      </c>
      <c r="G191" s="71">
        <v>2.5</v>
      </c>
      <c r="H191" s="71">
        <v>4</v>
      </c>
      <c r="I191" s="71">
        <v>4</v>
      </c>
      <c r="J191" s="71">
        <v>4</v>
      </c>
      <c r="K191" s="71">
        <v>4</v>
      </c>
      <c r="L191" s="67"/>
    </row>
    <row r="192" spans="1:12" ht="15.75" thickBot="1">
      <c r="A192" s="68" t="s">
        <v>319</v>
      </c>
      <c r="B192" s="69" t="s">
        <v>462</v>
      </c>
      <c r="C192" s="69" t="s">
        <v>461</v>
      </c>
      <c r="D192" s="70">
        <v>5.0830000000000002</v>
      </c>
      <c r="E192" s="70">
        <v>3.0670000000000002</v>
      </c>
      <c r="F192" s="71">
        <v>10.125</v>
      </c>
      <c r="G192" s="71">
        <v>1.9950000000000001</v>
      </c>
      <c r="H192" s="71">
        <v>2</v>
      </c>
      <c r="I192" s="71">
        <v>2</v>
      </c>
      <c r="J192" s="71">
        <v>2</v>
      </c>
      <c r="K192" s="71">
        <v>2</v>
      </c>
      <c r="L192" s="67"/>
    </row>
    <row r="193" spans="1:12" ht="15.75" thickBot="1">
      <c r="A193" s="68" t="s">
        <v>500</v>
      </c>
      <c r="B193" s="69" t="s">
        <v>460</v>
      </c>
      <c r="C193" s="69" t="s">
        <v>461</v>
      </c>
      <c r="D193" s="71">
        <v>5.2119999999999997</v>
      </c>
      <c r="E193" s="71">
        <v>4.9329999999999998</v>
      </c>
      <c r="F193" s="71">
        <v>4.2640000000000002</v>
      </c>
      <c r="G193" s="71">
        <v>4.681</v>
      </c>
      <c r="H193" s="71">
        <v>5.202</v>
      </c>
      <c r="I193" s="71">
        <v>5.7050000000000001</v>
      </c>
      <c r="J193" s="71">
        <v>4.7220000000000004</v>
      </c>
      <c r="K193" s="71">
        <v>3.8650000000000002</v>
      </c>
      <c r="L193" s="67"/>
    </row>
    <row r="194" spans="1:12" ht="15.75" thickBot="1">
      <c r="A194" s="68" t="s">
        <v>500</v>
      </c>
      <c r="B194" s="69" t="s">
        <v>462</v>
      </c>
      <c r="C194" s="69" t="s">
        <v>461</v>
      </c>
      <c r="D194" s="71">
        <v>3.0640000000000001</v>
      </c>
      <c r="E194" s="71">
        <v>7.742</v>
      </c>
      <c r="F194" s="71">
        <v>4.2789999999999999</v>
      </c>
      <c r="G194" s="71">
        <v>5.5170000000000003</v>
      </c>
      <c r="H194" s="71">
        <v>3.8029999999999999</v>
      </c>
      <c r="I194" s="71">
        <v>5.3</v>
      </c>
      <c r="J194" s="71">
        <v>4.4240000000000004</v>
      </c>
      <c r="K194" s="71">
        <v>4.0469999999999997</v>
      </c>
      <c r="L194" s="67"/>
    </row>
    <row r="195" spans="1:12" ht="15.75" thickBot="1">
      <c r="A195" s="68" t="s">
        <v>501</v>
      </c>
      <c r="B195" s="69" t="s">
        <v>460</v>
      </c>
      <c r="C195" s="69" t="s">
        <v>461</v>
      </c>
      <c r="D195" s="70">
        <v>6.1150000000000002</v>
      </c>
      <c r="E195" s="70">
        <v>8.1720000000000006</v>
      </c>
      <c r="F195" s="71">
        <v>8.9979999999999993</v>
      </c>
      <c r="G195" s="71">
        <v>7.9189999999999996</v>
      </c>
      <c r="H195" s="71">
        <v>5.508</v>
      </c>
      <c r="I195" s="71">
        <v>7.601</v>
      </c>
      <c r="J195" s="71">
        <v>5.1319999999999997</v>
      </c>
      <c r="K195" s="71">
        <v>5.6520000000000001</v>
      </c>
      <c r="L195" s="67"/>
    </row>
    <row r="196" spans="1:12" ht="15.75" thickBot="1">
      <c r="A196" s="68" t="s">
        <v>501</v>
      </c>
      <c r="B196" s="69" t="s">
        <v>462</v>
      </c>
      <c r="C196" s="69" t="s">
        <v>461</v>
      </c>
      <c r="D196" s="70">
        <v>6.6180000000000003</v>
      </c>
      <c r="E196" s="70">
        <v>11.449</v>
      </c>
      <c r="F196" s="71">
        <v>4.9470000000000001</v>
      </c>
      <c r="G196" s="71">
        <v>4.6609999999999996</v>
      </c>
      <c r="H196" s="71">
        <v>5</v>
      </c>
      <c r="I196" s="71">
        <v>5</v>
      </c>
      <c r="J196" s="71">
        <v>5</v>
      </c>
      <c r="K196" s="71">
        <v>5</v>
      </c>
      <c r="L196" s="67"/>
    </row>
    <row r="197" spans="1:12" ht="15.75" thickBot="1">
      <c r="A197" s="68" t="s">
        <v>502</v>
      </c>
      <c r="B197" s="69" t="s">
        <v>460</v>
      </c>
      <c r="C197" s="69" t="s">
        <v>461</v>
      </c>
      <c r="D197" s="71">
        <v>3.7050000000000001</v>
      </c>
      <c r="E197" s="71">
        <v>-59.686999999999998</v>
      </c>
      <c r="F197" s="71">
        <v>121.90300000000001</v>
      </c>
      <c r="G197" s="71">
        <v>16.687999999999999</v>
      </c>
      <c r="H197" s="71">
        <v>8.2729999999999997</v>
      </c>
      <c r="I197" s="71">
        <v>8.6489999999999991</v>
      </c>
      <c r="J197" s="71">
        <v>6.524</v>
      </c>
      <c r="K197" s="71">
        <v>3.8650000000000002</v>
      </c>
      <c r="L197" s="67"/>
    </row>
    <row r="198" spans="1:12" ht="15.75" thickBot="1">
      <c r="A198" s="68" t="s">
        <v>502</v>
      </c>
      <c r="B198" s="69" t="s">
        <v>462</v>
      </c>
      <c r="C198" s="69" t="s">
        <v>461</v>
      </c>
      <c r="D198" s="71">
        <v>3.3250000000000002</v>
      </c>
      <c r="E198" s="71">
        <v>26.646000000000001</v>
      </c>
      <c r="F198" s="71">
        <v>-1.7</v>
      </c>
      <c r="G198" s="71">
        <v>3.1</v>
      </c>
      <c r="H198" s="71">
        <v>4.4000000000000004</v>
      </c>
      <c r="I198" s="71">
        <v>4.0010000000000003</v>
      </c>
      <c r="J198" s="71">
        <v>4</v>
      </c>
      <c r="K198" s="71">
        <v>4</v>
      </c>
      <c r="L198" s="67"/>
    </row>
    <row r="199" spans="1:12" ht="15.75" thickBot="1">
      <c r="A199" s="68" t="s">
        <v>323</v>
      </c>
      <c r="B199" s="69" t="s">
        <v>460</v>
      </c>
      <c r="C199" s="69" t="s">
        <v>461</v>
      </c>
      <c r="D199" s="70">
        <v>1.44</v>
      </c>
      <c r="E199" s="70">
        <v>5.8739999999999997</v>
      </c>
      <c r="F199" s="71">
        <v>2.7349999999999999</v>
      </c>
      <c r="G199" s="71">
        <v>3.0030000000000001</v>
      </c>
      <c r="H199" s="71">
        <v>3.4860000000000002</v>
      </c>
      <c r="I199" s="71">
        <v>3.65</v>
      </c>
      <c r="J199" s="71">
        <v>3.9289999999999998</v>
      </c>
      <c r="K199" s="71">
        <v>3.629</v>
      </c>
      <c r="L199" s="67"/>
    </row>
    <row r="200" spans="1:12" ht="15.75" thickBot="1">
      <c r="A200" s="68" t="s">
        <v>323</v>
      </c>
      <c r="B200" s="69" t="s">
        <v>462</v>
      </c>
      <c r="C200" s="69" t="s">
        <v>461</v>
      </c>
      <c r="D200" s="70">
        <v>3.629</v>
      </c>
      <c r="E200" s="70">
        <v>3.4710000000000001</v>
      </c>
      <c r="F200" s="71">
        <v>3.4249999999999998</v>
      </c>
      <c r="G200" s="71">
        <v>2.278</v>
      </c>
      <c r="H200" s="71">
        <v>2.4449999999999998</v>
      </c>
      <c r="I200" s="71">
        <v>2.4</v>
      </c>
      <c r="J200" s="71">
        <v>2.38</v>
      </c>
      <c r="K200" s="71">
        <v>2.355</v>
      </c>
      <c r="L200" s="67"/>
    </row>
    <row r="201" spans="1:12" ht="15.75" thickBot="1">
      <c r="A201" s="68" t="s">
        <v>327</v>
      </c>
      <c r="B201" s="69" t="s">
        <v>460</v>
      </c>
      <c r="C201" s="69" t="s">
        <v>461</v>
      </c>
      <c r="D201" s="70">
        <v>2.6779999999999999</v>
      </c>
      <c r="E201" s="70">
        <v>1.5589999999999999</v>
      </c>
      <c r="F201" s="71">
        <v>0.16800000000000001</v>
      </c>
      <c r="G201" s="71">
        <v>0.71899999999999997</v>
      </c>
      <c r="H201" s="71">
        <v>1.752</v>
      </c>
      <c r="I201" s="71">
        <v>2.1779999999999999</v>
      </c>
      <c r="J201" s="71">
        <v>2.4510000000000001</v>
      </c>
      <c r="K201" s="71">
        <v>2.5390000000000001</v>
      </c>
      <c r="L201" s="67"/>
    </row>
    <row r="202" spans="1:12" ht="15.75" thickBot="1">
      <c r="A202" s="68" t="s">
        <v>327</v>
      </c>
      <c r="B202" s="69" t="s">
        <v>462</v>
      </c>
      <c r="C202" s="69" t="s">
        <v>461</v>
      </c>
      <c r="D202" s="70">
        <v>3.1110000000000002</v>
      </c>
      <c r="E202" s="70">
        <v>3.41</v>
      </c>
      <c r="F202" s="71">
        <v>1.8480000000000001</v>
      </c>
      <c r="G202" s="71">
        <v>2.2919999999999998</v>
      </c>
      <c r="H202" s="71">
        <v>2.444</v>
      </c>
      <c r="I202" s="71">
        <v>2.5289999999999999</v>
      </c>
      <c r="J202" s="71">
        <v>2.5329999999999999</v>
      </c>
      <c r="K202" s="71">
        <v>2.544</v>
      </c>
      <c r="L202" s="67"/>
    </row>
    <row r="203" spans="1:12" ht="15.75" thickBot="1">
      <c r="A203" s="68" t="s">
        <v>503</v>
      </c>
      <c r="B203" s="69" t="s">
        <v>460</v>
      </c>
      <c r="C203" s="69" t="s">
        <v>461</v>
      </c>
      <c r="D203" s="70">
        <v>2.895</v>
      </c>
      <c r="E203" s="70">
        <v>3.11</v>
      </c>
      <c r="F203" s="71">
        <v>0.95599999999999996</v>
      </c>
      <c r="G203" s="71">
        <v>1.9510000000000001</v>
      </c>
      <c r="H203" s="71">
        <v>3.5430000000000001</v>
      </c>
      <c r="I203" s="71">
        <v>4.226</v>
      </c>
      <c r="J203" s="71">
        <v>4.0279999999999996</v>
      </c>
      <c r="K203" s="71">
        <v>4.048</v>
      </c>
      <c r="L203" s="67"/>
    </row>
    <row r="204" spans="1:12" ht="15.75" thickBot="1">
      <c r="A204" s="68" t="s">
        <v>503</v>
      </c>
      <c r="B204" s="69" t="s">
        <v>462</v>
      </c>
      <c r="C204" s="69" t="s">
        <v>461</v>
      </c>
      <c r="D204" s="70">
        <v>2.956</v>
      </c>
      <c r="E204" s="70">
        <v>2.7829999999999999</v>
      </c>
      <c r="F204" s="71">
        <v>2</v>
      </c>
      <c r="G204" s="71">
        <v>2</v>
      </c>
      <c r="H204" s="71">
        <v>2</v>
      </c>
      <c r="I204" s="71">
        <v>2</v>
      </c>
      <c r="J204" s="71">
        <v>2</v>
      </c>
      <c r="K204" s="71">
        <v>2</v>
      </c>
      <c r="L204" s="67"/>
    </row>
    <row r="205" spans="1:12" ht="15.75" thickBot="1">
      <c r="A205" s="68" t="s">
        <v>504</v>
      </c>
      <c r="B205" s="69" t="s">
        <v>460</v>
      </c>
      <c r="C205" s="69" t="s">
        <v>461</v>
      </c>
      <c r="D205" s="70">
        <v>0.41899999999999998</v>
      </c>
      <c r="E205" s="71">
        <v>1.8140000000000001</v>
      </c>
      <c r="F205" s="71">
        <v>1.903</v>
      </c>
      <c r="G205" s="71">
        <v>2.62</v>
      </c>
      <c r="H205" s="71">
        <v>3.7519999999999998</v>
      </c>
      <c r="I205" s="71">
        <v>3.96</v>
      </c>
      <c r="J205" s="71">
        <v>4.5279999999999996</v>
      </c>
      <c r="K205" s="71">
        <v>5.0460000000000003</v>
      </c>
      <c r="L205" s="67"/>
    </row>
    <row r="206" spans="1:12" ht="15.75" thickBot="1">
      <c r="A206" s="68" t="s">
        <v>504</v>
      </c>
      <c r="B206" s="69" t="s">
        <v>462</v>
      </c>
      <c r="C206" s="69" t="s">
        <v>461</v>
      </c>
      <c r="D206" s="70">
        <v>10.182</v>
      </c>
      <c r="E206" s="71">
        <v>7.5490000000000004</v>
      </c>
      <c r="F206" s="71">
        <v>7.7</v>
      </c>
      <c r="G206" s="71">
        <v>7</v>
      </c>
      <c r="H206" s="71">
        <v>6.5</v>
      </c>
      <c r="I206" s="71">
        <v>6</v>
      </c>
      <c r="J206" s="71">
        <v>5.5</v>
      </c>
      <c r="K206" s="71">
        <v>5</v>
      </c>
      <c r="L206" s="67"/>
    </row>
    <row r="207" spans="1:12" ht="15.75" thickBot="1">
      <c r="A207" s="68" t="s">
        <v>505</v>
      </c>
      <c r="B207" s="69" t="s">
        <v>460</v>
      </c>
      <c r="C207" s="69" t="s">
        <v>461</v>
      </c>
      <c r="D207" s="71">
        <v>6.5330000000000004</v>
      </c>
      <c r="E207" s="71">
        <v>4.3470000000000004</v>
      </c>
      <c r="F207" s="71">
        <v>4.3140000000000001</v>
      </c>
      <c r="G207" s="71">
        <v>5.7190000000000003</v>
      </c>
      <c r="H207" s="71">
        <v>6.1429999999999998</v>
      </c>
      <c r="I207" s="71">
        <v>6.5129999999999999</v>
      </c>
      <c r="J207" s="71">
        <v>6.6959999999999997</v>
      </c>
      <c r="K207" s="71">
        <v>6.657</v>
      </c>
      <c r="L207" s="67"/>
    </row>
    <row r="208" spans="1:12" ht="15.75" thickBot="1">
      <c r="A208" s="68" t="s">
        <v>505</v>
      </c>
      <c r="B208" s="69" t="s">
        <v>462</v>
      </c>
      <c r="C208" s="69" t="s">
        <v>461</v>
      </c>
      <c r="D208" s="70">
        <v>6.27</v>
      </c>
      <c r="E208" s="70">
        <v>9.798</v>
      </c>
      <c r="F208" s="71">
        <v>22.594000000000001</v>
      </c>
      <c r="G208" s="71">
        <v>11.772</v>
      </c>
      <c r="H208" s="71">
        <v>7.1580000000000004</v>
      </c>
      <c r="I208" s="71">
        <v>6.4039999999999999</v>
      </c>
      <c r="J208" s="71">
        <v>5.8079999999999998</v>
      </c>
      <c r="K208" s="71">
        <v>5.16</v>
      </c>
      <c r="L208" s="67"/>
    </row>
    <row r="209" spans="1:12" ht="15.75" thickBot="1">
      <c r="A209" s="68" t="s">
        <v>329</v>
      </c>
      <c r="B209" s="69" t="s">
        <v>460</v>
      </c>
      <c r="C209" s="69" t="s">
        <v>461</v>
      </c>
      <c r="D209" s="70">
        <v>7.1539999999999999</v>
      </c>
      <c r="E209" s="70">
        <v>5.0839999999999996</v>
      </c>
      <c r="F209" s="71">
        <v>4.4000000000000004</v>
      </c>
      <c r="G209" s="71">
        <v>4.7</v>
      </c>
      <c r="H209" s="71">
        <v>5</v>
      </c>
      <c r="I209" s="71">
        <v>5</v>
      </c>
      <c r="J209" s="71">
        <v>5</v>
      </c>
      <c r="K209" s="71">
        <v>5</v>
      </c>
      <c r="L209" s="67"/>
    </row>
    <row r="210" spans="1:12" ht="15.75" thickBot="1">
      <c r="A210" s="68" t="s">
        <v>329</v>
      </c>
      <c r="B210" s="69" t="s">
        <v>462</v>
      </c>
      <c r="C210" s="69" t="s">
        <v>461</v>
      </c>
      <c r="D210" s="70">
        <v>2.1190000000000002</v>
      </c>
      <c r="E210" s="70">
        <v>2.964</v>
      </c>
      <c r="F210" s="71">
        <v>2</v>
      </c>
      <c r="G210" s="71">
        <v>2.4</v>
      </c>
      <c r="H210" s="71">
        <v>2.5</v>
      </c>
      <c r="I210" s="71">
        <v>2.5</v>
      </c>
      <c r="J210" s="71">
        <v>2.5</v>
      </c>
      <c r="K210" s="71">
        <v>2.5</v>
      </c>
      <c r="L210" s="67"/>
    </row>
    <row r="211" spans="1:12" ht="15.75" thickBot="1">
      <c r="A211" s="68" t="s">
        <v>506</v>
      </c>
      <c r="B211" s="69" t="s">
        <v>460</v>
      </c>
      <c r="C211" s="69" t="s">
        <v>461</v>
      </c>
      <c r="D211" s="71">
        <v>5.7240000000000002</v>
      </c>
      <c r="E211" s="71">
        <v>5.8470000000000004</v>
      </c>
      <c r="F211" s="71">
        <v>1.526</v>
      </c>
      <c r="G211" s="71">
        <v>2.468</v>
      </c>
      <c r="H211" s="71">
        <v>3.343</v>
      </c>
      <c r="I211" s="71">
        <v>3.3969999999999998</v>
      </c>
      <c r="J211" s="71">
        <v>3.3969999999999998</v>
      </c>
      <c r="K211" s="71">
        <v>3.3969999999999998</v>
      </c>
      <c r="L211" s="67"/>
    </row>
    <row r="212" spans="1:12" ht="15.75" thickBot="1">
      <c r="A212" s="68" t="s">
        <v>506</v>
      </c>
      <c r="B212" s="69" t="s">
        <v>462</v>
      </c>
      <c r="C212" s="69" t="s">
        <v>461</v>
      </c>
      <c r="D212" s="70">
        <v>5.09</v>
      </c>
      <c r="E212" s="71">
        <v>20.85</v>
      </c>
      <c r="F212" s="71">
        <v>8</v>
      </c>
      <c r="G212" s="71">
        <v>8</v>
      </c>
      <c r="H212" s="71">
        <v>7.5</v>
      </c>
      <c r="I212" s="71">
        <v>7</v>
      </c>
      <c r="J212" s="71">
        <v>4</v>
      </c>
      <c r="K212" s="71">
        <v>3.0379999999999998</v>
      </c>
      <c r="L212" s="67"/>
    </row>
    <row r="213" spans="1:12" ht="15.75" thickBot="1">
      <c r="A213" s="68" t="s">
        <v>507</v>
      </c>
      <c r="B213" s="69" t="s">
        <v>460</v>
      </c>
      <c r="C213" s="69" t="s">
        <v>461</v>
      </c>
      <c r="D213" s="70">
        <v>5.819</v>
      </c>
      <c r="E213" s="70">
        <v>2.7309999999999999</v>
      </c>
      <c r="F213" s="71">
        <v>-4.4930000000000003</v>
      </c>
      <c r="G213" s="71">
        <v>2.9769999999999999</v>
      </c>
      <c r="H213" s="71">
        <v>5.8280000000000003</v>
      </c>
      <c r="I213" s="71">
        <v>5.6669999999999998</v>
      </c>
      <c r="J213" s="71">
        <v>5.6820000000000004</v>
      </c>
      <c r="K213" s="71">
        <v>5.7679999999999998</v>
      </c>
      <c r="L213" s="67"/>
    </row>
    <row r="214" spans="1:12" ht="15.75" thickBot="1">
      <c r="A214" s="68" t="s">
        <v>507</v>
      </c>
      <c r="B214" s="69" t="s">
        <v>462</v>
      </c>
      <c r="C214" s="69" t="s">
        <v>461</v>
      </c>
      <c r="D214" s="70">
        <v>1.944</v>
      </c>
      <c r="E214" s="70">
        <v>5.2939999999999996</v>
      </c>
      <c r="F214" s="71">
        <v>6.4210000000000003</v>
      </c>
      <c r="G214" s="71">
        <v>7.6070000000000002</v>
      </c>
      <c r="H214" s="71">
        <v>4.4660000000000002</v>
      </c>
      <c r="I214" s="71">
        <v>4.7839999999999998</v>
      </c>
      <c r="J214" s="71">
        <v>4.9870000000000001</v>
      </c>
      <c r="K214" s="71">
        <v>5.1289999999999996</v>
      </c>
      <c r="L214" s="67"/>
    </row>
    <row r="215" spans="1:12" ht="15.75" thickBot="1">
      <c r="A215" s="68" t="s">
        <v>337</v>
      </c>
      <c r="B215" s="69" t="s">
        <v>460</v>
      </c>
      <c r="C215" s="69" t="s">
        <v>461</v>
      </c>
      <c r="D215" s="70">
        <v>2.528</v>
      </c>
      <c r="E215" s="71">
        <v>2.0640000000000001</v>
      </c>
      <c r="F215" s="71">
        <v>1.2</v>
      </c>
      <c r="G215" s="71">
        <v>2.0489999999999999</v>
      </c>
      <c r="H215" s="71">
        <v>2.1389999999999998</v>
      </c>
      <c r="I215" s="71">
        <v>2.246</v>
      </c>
      <c r="J215" s="71">
        <v>2.3450000000000002</v>
      </c>
      <c r="K215" s="71">
        <v>2.3450000000000002</v>
      </c>
      <c r="L215" s="67"/>
    </row>
    <row r="216" spans="1:12" ht="15.75" thickBot="1">
      <c r="A216" s="68" t="s">
        <v>337</v>
      </c>
      <c r="B216" s="69" t="s">
        <v>462</v>
      </c>
      <c r="C216" s="69" t="s">
        <v>461</v>
      </c>
      <c r="D216" s="70">
        <v>4.0410000000000004</v>
      </c>
      <c r="E216" s="71">
        <v>1.472</v>
      </c>
      <c r="F216" s="71">
        <v>3.5249999999999999</v>
      </c>
      <c r="G216" s="71">
        <v>2.5529999999999999</v>
      </c>
      <c r="H216" s="71">
        <v>2.1</v>
      </c>
      <c r="I216" s="71">
        <v>2</v>
      </c>
      <c r="J216" s="71">
        <v>2.1</v>
      </c>
      <c r="K216" s="71">
        <v>2.2000000000000002</v>
      </c>
      <c r="L216" s="67"/>
    </row>
    <row r="217" spans="1:12" ht="15.75" thickBot="1">
      <c r="A217" s="68" t="s">
        <v>508</v>
      </c>
      <c r="B217" s="69" t="s">
        <v>460</v>
      </c>
      <c r="C217" s="69" t="s">
        <v>461</v>
      </c>
      <c r="D217" s="71">
        <v>5.0890000000000004</v>
      </c>
      <c r="E217" s="71">
        <v>3.9529999999999998</v>
      </c>
      <c r="F217" s="71">
        <v>5.3040000000000003</v>
      </c>
      <c r="G217" s="71">
        <v>6.875</v>
      </c>
      <c r="H217" s="71">
        <v>5.7729999999999997</v>
      </c>
      <c r="I217" s="71">
        <v>5.4740000000000002</v>
      </c>
      <c r="J217" s="71">
        <v>5.4749999999999996</v>
      </c>
      <c r="K217" s="71">
        <v>5.4690000000000003</v>
      </c>
      <c r="L217" s="67"/>
    </row>
    <row r="218" spans="1:12" ht="15.75" thickBot="1">
      <c r="A218" s="68" t="s">
        <v>508</v>
      </c>
      <c r="B218" s="69" t="s">
        <v>462</v>
      </c>
      <c r="C218" s="69" t="s">
        <v>461</v>
      </c>
      <c r="D218" s="71">
        <v>6.1429999999999998</v>
      </c>
      <c r="E218" s="71">
        <v>5.4720000000000004</v>
      </c>
      <c r="F218" s="71">
        <v>6</v>
      </c>
      <c r="G218" s="71">
        <v>6.2539999999999996</v>
      </c>
      <c r="H218" s="71">
        <v>5.8540000000000001</v>
      </c>
      <c r="I218" s="71">
        <v>5.5</v>
      </c>
      <c r="J218" s="71">
        <v>5.14</v>
      </c>
      <c r="K218" s="71">
        <v>5.14</v>
      </c>
      <c r="L218" s="67"/>
    </row>
    <row r="219" spans="1:12" ht="15.75" thickBot="1">
      <c r="A219" s="68" t="s">
        <v>338</v>
      </c>
      <c r="B219" s="69" t="s">
        <v>460</v>
      </c>
      <c r="C219" s="69" t="s">
        <v>461</v>
      </c>
      <c r="D219" s="70">
        <v>4.1529999999999996</v>
      </c>
      <c r="E219" s="70">
        <v>4.1440000000000001</v>
      </c>
      <c r="F219" s="71">
        <v>3.3660000000000001</v>
      </c>
      <c r="G219" s="71">
        <v>3.7360000000000002</v>
      </c>
      <c r="H219" s="71">
        <v>4.0549999999999997</v>
      </c>
      <c r="I219" s="71">
        <v>4.4080000000000004</v>
      </c>
      <c r="J219" s="71">
        <v>4.55</v>
      </c>
      <c r="K219" s="71">
        <v>4.5830000000000002</v>
      </c>
      <c r="L219" s="67"/>
    </row>
    <row r="220" spans="1:12" ht="15.75" thickBot="1">
      <c r="A220" s="68" t="s">
        <v>338</v>
      </c>
      <c r="B220" s="69" t="s">
        <v>462</v>
      </c>
      <c r="C220" s="69" t="s">
        <v>461</v>
      </c>
      <c r="D220" s="70">
        <v>6.1210000000000004</v>
      </c>
      <c r="E220" s="70">
        <v>4.867</v>
      </c>
      <c r="F220" s="71">
        <v>4.8</v>
      </c>
      <c r="G220" s="71">
        <v>5.0999999999999996</v>
      </c>
      <c r="H220" s="71">
        <v>4.4000000000000004</v>
      </c>
      <c r="I220" s="71">
        <v>4.4000000000000004</v>
      </c>
      <c r="J220" s="71">
        <v>4.4000000000000004</v>
      </c>
      <c r="K220" s="71">
        <v>4.4000000000000004</v>
      </c>
      <c r="L220" s="67"/>
    </row>
    <row r="221" spans="1:12" ht="15.75" thickBot="1">
      <c r="A221" s="68" t="s">
        <v>339</v>
      </c>
      <c r="B221" s="69" t="s">
        <v>460</v>
      </c>
      <c r="C221" s="69" t="s">
        <v>461</v>
      </c>
      <c r="D221" s="70">
        <v>5.5579999999999998</v>
      </c>
      <c r="E221" s="70">
        <v>3.94</v>
      </c>
      <c r="F221" s="71">
        <v>3.7749999999999999</v>
      </c>
      <c r="G221" s="71">
        <v>3.4540000000000002</v>
      </c>
      <c r="H221" s="71">
        <v>3.488</v>
      </c>
      <c r="I221" s="71">
        <v>3.2989999999999999</v>
      </c>
      <c r="J221" s="71">
        <v>3.2829999999999999</v>
      </c>
      <c r="K221" s="71">
        <v>3.2810000000000001</v>
      </c>
      <c r="L221" s="67"/>
    </row>
    <row r="222" spans="1:12" ht="15.75" thickBot="1">
      <c r="A222" s="68" t="s">
        <v>339</v>
      </c>
      <c r="B222" s="69" t="s">
        <v>462</v>
      </c>
      <c r="C222" s="69" t="s">
        <v>461</v>
      </c>
      <c r="D222" s="70">
        <v>4.4020000000000001</v>
      </c>
      <c r="E222" s="70">
        <v>3.819</v>
      </c>
      <c r="F222" s="71">
        <v>3.9860000000000002</v>
      </c>
      <c r="G222" s="71">
        <v>3.2709999999999999</v>
      </c>
      <c r="H222" s="71">
        <v>3.0070000000000001</v>
      </c>
      <c r="I222" s="71">
        <v>2.9980000000000002</v>
      </c>
      <c r="J222" s="71">
        <v>3</v>
      </c>
      <c r="K222" s="71">
        <v>3</v>
      </c>
      <c r="L222" s="67"/>
    </row>
    <row r="223" spans="1:12" ht="15.75" thickBot="1">
      <c r="A223" s="68" t="s">
        <v>343</v>
      </c>
      <c r="B223" s="69" t="s">
        <v>460</v>
      </c>
      <c r="C223" s="69" t="s">
        <v>461</v>
      </c>
      <c r="D223" s="70">
        <v>7.0940000000000003</v>
      </c>
      <c r="E223" s="70">
        <v>6.4139999999999997</v>
      </c>
      <c r="F223" s="71">
        <v>3</v>
      </c>
      <c r="G223" s="71">
        <v>5</v>
      </c>
      <c r="H223" s="71">
        <v>5</v>
      </c>
      <c r="I223" s="71">
        <v>5.5</v>
      </c>
      <c r="J223" s="71">
        <v>5.3</v>
      </c>
      <c r="K223" s="71">
        <v>5.3</v>
      </c>
      <c r="L223" s="67"/>
    </row>
    <row r="224" spans="1:12" ht="15.75" thickBot="1">
      <c r="A224" s="68" t="s">
        <v>343</v>
      </c>
      <c r="B224" s="69" t="s">
        <v>462</v>
      </c>
      <c r="C224" s="69" t="s">
        <v>461</v>
      </c>
      <c r="D224" s="70">
        <v>8.0809999999999995</v>
      </c>
      <c r="E224" s="70">
        <v>7.7789999999999999</v>
      </c>
      <c r="F224" s="71">
        <v>5</v>
      </c>
      <c r="G224" s="71">
        <v>5</v>
      </c>
      <c r="H224" s="71">
        <v>5</v>
      </c>
      <c r="I224" s="71">
        <v>5</v>
      </c>
      <c r="J224" s="71">
        <v>5</v>
      </c>
      <c r="K224" s="71">
        <v>5</v>
      </c>
      <c r="L224" s="67"/>
    </row>
    <row r="225" spans="1:12" ht="15.75" thickBot="1">
      <c r="A225" s="68" t="s">
        <v>344</v>
      </c>
      <c r="B225" s="69" t="s">
        <v>460</v>
      </c>
      <c r="C225" s="69" t="s">
        <v>461</v>
      </c>
      <c r="D225" s="70">
        <v>6.3650000000000002</v>
      </c>
      <c r="E225" s="70">
        <v>17.513999999999999</v>
      </c>
      <c r="F225" s="71">
        <v>12.667</v>
      </c>
      <c r="G225" s="71">
        <v>15.742000000000001</v>
      </c>
      <c r="H225" s="71">
        <v>11.81</v>
      </c>
      <c r="I225" s="71">
        <v>4.7190000000000003</v>
      </c>
      <c r="J225" s="71">
        <v>13.807</v>
      </c>
      <c r="K225" s="71">
        <v>9.6859999999999999</v>
      </c>
      <c r="L225" s="67"/>
    </row>
    <row r="226" spans="1:12" ht="15.75" thickBot="1">
      <c r="A226" s="68" t="s">
        <v>344</v>
      </c>
      <c r="B226" s="69" t="s">
        <v>462</v>
      </c>
      <c r="C226" s="69" t="s">
        <v>461</v>
      </c>
      <c r="D226" s="70">
        <v>14.292</v>
      </c>
      <c r="E226" s="70">
        <v>9.3949999999999996</v>
      </c>
      <c r="F226" s="71">
        <v>12.909000000000001</v>
      </c>
      <c r="G226" s="71">
        <v>10.403</v>
      </c>
      <c r="H226" s="71">
        <v>8.5</v>
      </c>
      <c r="I226" s="71">
        <v>7.9169999999999998</v>
      </c>
      <c r="J226" s="71">
        <v>7.3330000000000002</v>
      </c>
      <c r="K226" s="71">
        <v>6.75</v>
      </c>
      <c r="L226" s="67"/>
    </row>
    <row r="227" spans="1:12" ht="15.75" thickBot="1">
      <c r="A227" s="68" t="s">
        <v>345</v>
      </c>
      <c r="B227" s="69" t="s">
        <v>460</v>
      </c>
      <c r="C227" s="69" t="s">
        <v>461</v>
      </c>
      <c r="D227" s="70">
        <v>2.5</v>
      </c>
      <c r="E227" s="71">
        <v>2.4500000000000002</v>
      </c>
      <c r="F227" s="71">
        <v>0.2</v>
      </c>
      <c r="G227" s="71">
        <v>1.5429999999999999</v>
      </c>
      <c r="H227" s="71">
        <v>2.032</v>
      </c>
      <c r="I227" s="71">
        <v>2.0270000000000001</v>
      </c>
      <c r="J227" s="71">
        <v>2.0209999999999999</v>
      </c>
      <c r="K227" s="71">
        <v>2.2320000000000002</v>
      </c>
      <c r="L227" s="67"/>
    </row>
    <row r="228" spans="1:12" ht="15.75" thickBot="1">
      <c r="A228" s="68" t="s">
        <v>345</v>
      </c>
      <c r="B228" s="69" t="s">
        <v>462</v>
      </c>
      <c r="C228" s="69" t="s">
        <v>461</v>
      </c>
      <c r="D228" s="70">
        <v>0.65900000000000003</v>
      </c>
      <c r="E228" s="70">
        <v>2.7570000000000001</v>
      </c>
      <c r="F228" s="71">
        <v>3.7549999999999999</v>
      </c>
      <c r="G228" s="71">
        <v>2.9079999999999999</v>
      </c>
      <c r="H228" s="71">
        <v>3.71</v>
      </c>
      <c r="I228" s="71">
        <v>3.3090000000000002</v>
      </c>
      <c r="J228" s="71">
        <v>3.51</v>
      </c>
      <c r="K228" s="71">
        <v>3.4089999999999998</v>
      </c>
      <c r="L228" s="67"/>
    </row>
    <row r="229" spans="1:12" ht="15.75" thickBot="1">
      <c r="A229" s="68" t="s">
        <v>346</v>
      </c>
      <c r="B229" s="69" t="s">
        <v>460</v>
      </c>
      <c r="C229" s="69" t="s">
        <v>461</v>
      </c>
      <c r="D229" s="70">
        <v>3.7</v>
      </c>
      <c r="E229" s="70">
        <v>4.8529999999999998</v>
      </c>
      <c r="F229" s="71">
        <v>2.8730000000000002</v>
      </c>
      <c r="G229" s="71">
        <v>5.54</v>
      </c>
      <c r="H229" s="71">
        <v>5.12</v>
      </c>
      <c r="I229" s="71">
        <v>5.2729999999999997</v>
      </c>
      <c r="J229" s="71">
        <v>5.6239999999999997</v>
      </c>
      <c r="K229" s="71">
        <v>5.9489999999999998</v>
      </c>
      <c r="L229" s="67"/>
    </row>
    <row r="230" spans="1:12" ht="15.75" thickBot="1">
      <c r="A230" s="68" t="s">
        <v>346</v>
      </c>
      <c r="B230" s="69" t="s">
        <v>462</v>
      </c>
      <c r="C230" s="69" t="s">
        <v>461</v>
      </c>
      <c r="D230" s="70">
        <v>2.1640000000000001</v>
      </c>
      <c r="E230" s="70">
        <v>0.92100000000000004</v>
      </c>
      <c r="F230" s="71">
        <v>2.5</v>
      </c>
      <c r="G230" s="71">
        <v>2.5</v>
      </c>
      <c r="H230" s="71">
        <v>2.5</v>
      </c>
      <c r="I230" s="71">
        <v>2.5</v>
      </c>
      <c r="J230" s="71">
        <v>2.5</v>
      </c>
      <c r="K230" s="71">
        <v>2.6</v>
      </c>
      <c r="L230" s="67"/>
    </row>
    <row r="231" spans="1:12" ht="15.75" thickBot="1">
      <c r="A231" s="68" t="s">
        <v>509</v>
      </c>
      <c r="B231" s="69" t="s">
        <v>460</v>
      </c>
      <c r="C231" s="69" t="s">
        <v>461</v>
      </c>
      <c r="D231" s="70">
        <v>7.085</v>
      </c>
      <c r="E231" s="70">
        <v>7.3220000000000001</v>
      </c>
      <c r="F231" s="71">
        <v>7.5</v>
      </c>
      <c r="G231" s="71">
        <v>8.4</v>
      </c>
      <c r="H231" s="71">
        <v>7.79</v>
      </c>
      <c r="I231" s="71">
        <v>7.8470000000000004</v>
      </c>
      <c r="J231" s="71">
        <v>7.8239999999999998</v>
      </c>
      <c r="K231" s="71">
        <v>7.7830000000000004</v>
      </c>
      <c r="L231" s="67"/>
    </row>
    <row r="232" spans="1:12" ht="15.75" thickBot="1">
      <c r="A232" s="68" t="s">
        <v>509</v>
      </c>
      <c r="B232" s="69" t="s">
        <v>462</v>
      </c>
      <c r="C232" s="69" t="s">
        <v>461</v>
      </c>
      <c r="D232" s="70">
        <v>16.617999999999999</v>
      </c>
      <c r="E232" s="70">
        <v>5.46</v>
      </c>
      <c r="F232" s="71">
        <v>5.5</v>
      </c>
      <c r="G232" s="71">
        <v>8.1609999999999996</v>
      </c>
      <c r="H232" s="71">
        <v>5.6</v>
      </c>
      <c r="I232" s="71">
        <v>5.6</v>
      </c>
      <c r="J232" s="71">
        <v>5.6</v>
      </c>
      <c r="K232" s="71">
        <v>5.6</v>
      </c>
      <c r="L232" s="67"/>
    </row>
    <row r="233" spans="1:12" ht="15.75" thickBot="1">
      <c r="A233" s="68" t="s">
        <v>510</v>
      </c>
      <c r="B233" s="69" t="s">
        <v>460</v>
      </c>
      <c r="C233" s="69" t="s">
        <v>461</v>
      </c>
      <c r="D233" s="70">
        <v>5.3449999999999998</v>
      </c>
      <c r="E233" s="71">
        <v>5.46</v>
      </c>
      <c r="F233" s="71">
        <v>6.2</v>
      </c>
      <c r="G233" s="71">
        <v>6.3</v>
      </c>
      <c r="H233" s="71">
        <v>6.4</v>
      </c>
      <c r="I233" s="71">
        <v>6.5</v>
      </c>
      <c r="J233" s="71">
        <v>6.4989999999999997</v>
      </c>
      <c r="K233" s="71">
        <v>6.5</v>
      </c>
      <c r="L233" s="67"/>
    </row>
    <row r="234" spans="1:12" ht="15.75" thickBot="1">
      <c r="A234" s="68" t="s">
        <v>510</v>
      </c>
      <c r="B234" s="69" t="s">
        <v>462</v>
      </c>
      <c r="C234" s="69" t="s">
        <v>461</v>
      </c>
      <c r="D234" s="70">
        <v>8.8780000000000001</v>
      </c>
      <c r="E234" s="70">
        <v>5.0389999999999997</v>
      </c>
      <c r="F234" s="71">
        <v>5.6</v>
      </c>
      <c r="G234" s="71">
        <v>5.2839999999999998</v>
      </c>
      <c r="H234" s="71">
        <v>4.9950000000000001</v>
      </c>
      <c r="I234" s="71">
        <v>4.9950000000000001</v>
      </c>
      <c r="J234" s="71">
        <v>4.9950000000000001</v>
      </c>
      <c r="K234" s="71">
        <v>4.9950000000000001</v>
      </c>
      <c r="L234" s="67"/>
    </row>
    <row r="235" spans="1:12" ht="15.75" thickBot="1">
      <c r="A235" s="68" t="s">
        <v>350</v>
      </c>
      <c r="B235" s="69" t="s">
        <v>460</v>
      </c>
      <c r="C235" s="69" t="s">
        <v>461</v>
      </c>
      <c r="D235" s="71">
        <v>6.6</v>
      </c>
      <c r="E235" s="71">
        <v>4.8550000000000004</v>
      </c>
      <c r="F235" s="71">
        <v>4.0419999999999998</v>
      </c>
      <c r="G235" s="71">
        <v>4.1050000000000004</v>
      </c>
      <c r="H235" s="71">
        <v>4.1609999999999996</v>
      </c>
      <c r="I235" s="71">
        <v>4.2220000000000004</v>
      </c>
      <c r="J235" s="71">
        <v>4.21</v>
      </c>
      <c r="K235" s="71">
        <v>4.234</v>
      </c>
      <c r="L235" s="67"/>
    </row>
    <row r="236" spans="1:12" ht="15.75" thickBot="1">
      <c r="A236" s="68" t="s">
        <v>350</v>
      </c>
      <c r="B236" s="69" t="s">
        <v>462</v>
      </c>
      <c r="C236" s="69" t="s">
        <v>461</v>
      </c>
      <c r="D236" s="71">
        <v>3.0880000000000001</v>
      </c>
      <c r="E236" s="71">
        <v>7.2</v>
      </c>
      <c r="F236" s="71">
        <v>6.16</v>
      </c>
      <c r="G236" s="71">
        <v>5.7</v>
      </c>
      <c r="H236" s="71">
        <v>5.2</v>
      </c>
      <c r="I236" s="71">
        <v>4.5</v>
      </c>
      <c r="J236" s="71">
        <v>4.5</v>
      </c>
      <c r="K236" s="71">
        <v>4.5</v>
      </c>
      <c r="L236" s="67"/>
    </row>
    <row r="237" spans="1:12" ht="15.75" thickBot="1">
      <c r="A237" s="68" t="s">
        <v>511</v>
      </c>
      <c r="B237" s="69" t="s">
        <v>460</v>
      </c>
      <c r="C237" s="69" t="s">
        <v>461</v>
      </c>
      <c r="D237" s="70">
        <v>4.8159999999999998</v>
      </c>
      <c r="E237" s="70">
        <v>3.8839999999999999</v>
      </c>
      <c r="F237" s="70">
        <v>4.6340000000000003</v>
      </c>
      <c r="G237" s="71">
        <v>3.6440000000000001</v>
      </c>
      <c r="H237" s="71">
        <v>3.7549999999999999</v>
      </c>
      <c r="I237" s="71">
        <v>3.863</v>
      </c>
      <c r="J237" s="71">
        <v>4.0149999999999997</v>
      </c>
      <c r="K237" s="71">
        <v>4.0250000000000004</v>
      </c>
      <c r="L237" s="67"/>
    </row>
    <row r="238" spans="1:12" ht="15.75" thickBot="1">
      <c r="A238" s="68" t="s">
        <v>511</v>
      </c>
      <c r="B238" s="69" t="s">
        <v>462</v>
      </c>
      <c r="C238" s="69" t="s">
        <v>461</v>
      </c>
      <c r="D238" s="70">
        <v>8.968</v>
      </c>
      <c r="E238" s="70">
        <v>9.6820000000000004</v>
      </c>
      <c r="F238" s="70">
        <v>11.475</v>
      </c>
      <c r="G238" s="71">
        <v>7.274</v>
      </c>
      <c r="H238" s="71">
        <v>6.6459999999999999</v>
      </c>
      <c r="I238" s="71">
        <v>6.7460000000000004</v>
      </c>
      <c r="J238" s="71">
        <v>6.7309999999999999</v>
      </c>
      <c r="K238" s="71">
        <v>5.5149999999999997</v>
      </c>
      <c r="L238" s="67"/>
    </row>
    <row r="239" spans="1:12" ht="15.75" thickBot="1">
      <c r="A239" s="68" t="s">
        <v>351</v>
      </c>
      <c r="B239" s="69" t="s">
        <v>460</v>
      </c>
      <c r="C239" s="69" t="s">
        <v>461</v>
      </c>
      <c r="D239" s="70">
        <v>1.629</v>
      </c>
      <c r="E239" s="70">
        <v>1.085</v>
      </c>
      <c r="F239" s="71">
        <v>-0.45700000000000002</v>
      </c>
      <c r="G239" s="71">
        <v>0.39400000000000002</v>
      </c>
      <c r="H239" s="71">
        <v>1.353</v>
      </c>
      <c r="I239" s="71">
        <v>1.821</v>
      </c>
      <c r="J239" s="71">
        <v>1.873</v>
      </c>
      <c r="K239" s="71">
        <v>1.899</v>
      </c>
      <c r="L239" s="67"/>
    </row>
    <row r="240" spans="1:12" ht="15.75" thickBot="1">
      <c r="A240" s="68" t="s">
        <v>351</v>
      </c>
      <c r="B240" s="69" t="s">
        <v>462</v>
      </c>
      <c r="C240" s="69" t="s">
        <v>461</v>
      </c>
      <c r="D240" s="70">
        <v>1.843</v>
      </c>
      <c r="E240" s="70">
        <v>2.3460000000000001</v>
      </c>
      <c r="F240" s="71">
        <v>2.0099999999999998</v>
      </c>
      <c r="G240" s="71">
        <v>1.7549999999999999</v>
      </c>
      <c r="H240" s="71">
        <v>1.7410000000000001</v>
      </c>
      <c r="I240" s="71">
        <v>1.8540000000000001</v>
      </c>
      <c r="J240" s="71">
        <v>1.9990000000000001</v>
      </c>
      <c r="K240" s="71">
        <v>2.0649999999999999</v>
      </c>
      <c r="L240" s="67"/>
    </row>
    <row r="241" spans="1:12" ht="15.75" thickBot="1">
      <c r="A241" s="68" t="s">
        <v>355</v>
      </c>
      <c r="B241" s="69" t="s">
        <v>460</v>
      </c>
      <c r="C241" s="69" t="s">
        <v>461</v>
      </c>
      <c r="D241" s="70">
        <v>1.8180000000000001</v>
      </c>
      <c r="E241" s="70">
        <v>1.347</v>
      </c>
      <c r="F241" s="71">
        <v>2.2280000000000002</v>
      </c>
      <c r="G241" s="71">
        <v>3.0680000000000001</v>
      </c>
      <c r="H241" s="71">
        <v>2.673</v>
      </c>
      <c r="I241" s="71">
        <v>2.5870000000000002</v>
      </c>
      <c r="J241" s="71">
        <v>2.2669999999999999</v>
      </c>
      <c r="K241" s="71">
        <v>2.2850000000000001</v>
      </c>
      <c r="L241" s="67"/>
    </row>
    <row r="242" spans="1:12" ht="15.75" thickBot="1">
      <c r="A242" s="68" t="s">
        <v>355</v>
      </c>
      <c r="B242" s="69" t="s">
        <v>462</v>
      </c>
      <c r="C242" s="69" t="s">
        <v>461</v>
      </c>
      <c r="D242" s="70">
        <v>4.0259999999999998</v>
      </c>
      <c r="E242" s="70">
        <v>1.847</v>
      </c>
      <c r="F242" s="71">
        <v>2.4380000000000002</v>
      </c>
      <c r="G242" s="71">
        <v>2.5230000000000001</v>
      </c>
      <c r="H242" s="71">
        <v>2.371</v>
      </c>
      <c r="I242" s="71">
        <v>2.218</v>
      </c>
      <c r="J242" s="71">
        <v>2.0150000000000001</v>
      </c>
      <c r="K242" s="71">
        <v>2.0150000000000001</v>
      </c>
      <c r="L242" s="67"/>
    </row>
    <row r="243" spans="1:12" ht="15.75" thickBot="1">
      <c r="A243" s="68" t="s">
        <v>359</v>
      </c>
      <c r="B243" s="69" t="s">
        <v>460</v>
      </c>
      <c r="C243" s="69" t="s">
        <v>461</v>
      </c>
      <c r="D243" s="70">
        <v>4.4800000000000004</v>
      </c>
      <c r="E243" s="71">
        <v>4.6539999999999999</v>
      </c>
      <c r="F243" s="71">
        <v>3.7</v>
      </c>
      <c r="G243" s="71">
        <v>4</v>
      </c>
      <c r="H243" s="71">
        <v>4</v>
      </c>
      <c r="I243" s="71">
        <v>4</v>
      </c>
      <c r="J243" s="71">
        <v>4</v>
      </c>
      <c r="K243" s="71">
        <v>4</v>
      </c>
      <c r="L243" s="67"/>
    </row>
    <row r="244" spans="1:12" ht="15.75" thickBot="1">
      <c r="A244" s="68" t="s">
        <v>359</v>
      </c>
      <c r="B244" s="69" t="s">
        <v>462</v>
      </c>
      <c r="C244" s="69" t="s">
        <v>461</v>
      </c>
      <c r="D244" s="70">
        <v>9.23</v>
      </c>
      <c r="E244" s="71">
        <v>7.95</v>
      </c>
      <c r="F244" s="71">
        <v>7.9950000000000001</v>
      </c>
      <c r="G244" s="71">
        <v>7.5490000000000004</v>
      </c>
      <c r="H244" s="71">
        <v>6.3280000000000003</v>
      </c>
      <c r="I244" s="71">
        <v>6.9420000000000002</v>
      </c>
      <c r="J244" s="71">
        <v>6.931</v>
      </c>
      <c r="K244" s="71">
        <v>6.931</v>
      </c>
      <c r="L244" s="67"/>
    </row>
    <row r="245" spans="1:12" ht="15.75" thickBot="1">
      <c r="A245" s="68" t="s">
        <v>512</v>
      </c>
      <c r="B245" s="69" t="s">
        <v>460</v>
      </c>
      <c r="C245" s="69" t="s">
        <v>461</v>
      </c>
      <c r="D245" s="70">
        <v>7.9630000000000001</v>
      </c>
      <c r="E245" s="71">
        <v>2.29</v>
      </c>
      <c r="F245" s="71">
        <v>14.458</v>
      </c>
      <c r="G245" s="71">
        <v>6.6020000000000003</v>
      </c>
      <c r="H245" s="71">
        <v>7.2930000000000001</v>
      </c>
      <c r="I245" s="71">
        <v>6.9429999999999996</v>
      </c>
      <c r="J245" s="71">
        <v>7.0110000000000001</v>
      </c>
      <c r="K245" s="71">
        <v>5.4569999999999999</v>
      </c>
      <c r="L245" s="67"/>
    </row>
    <row r="246" spans="1:12" ht="15.75" thickBot="1">
      <c r="A246" s="68" t="s">
        <v>512</v>
      </c>
      <c r="B246" s="69" t="s">
        <v>462</v>
      </c>
      <c r="C246" s="69" t="s">
        <v>461</v>
      </c>
      <c r="D246" s="70">
        <v>2.6659999999999999</v>
      </c>
      <c r="E246" s="70">
        <v>1.4419999999999999</v>
      </c>
      <c r="F246" s="71">
        <v>4.5</v>
      </c>
      <c r="G246" s="71">
        <v>2</v>
      </c>
      <c r="H246" s="71">
        <v>2</v>
      </c>
      <c r="I246" s="71">
        <v>2</v>
      </c>
      <c r="J246" s="71">
        <v>2</v>
      </c>
      <c r="K246" s="71">
        <v>2</v>
      </c>
      <c r="L246" s="67"/>
    </row>
    <row r="247" spans="1:12" ht="15.75" thickBot="1">
      <c r="A247" s="68" t="s">
        <v>360</v>
      </c>
      <c r="B247" s="69" t="s">
        <v>460</v>
      </c>
      <c r="C247" s="69" t="s">
        <v>461</v>
      </c>
      <c r="D247" s="70">
        <v>7.976</v>
      </c>
      <c r="E247" s="70">
        <v>7.3559999999999999</v>
      </c>
      <c r="F247" s="71">
        <v>7.0739999999999998</v>
      </c>
      <c r="G247" s="71">
        <v>6.7370000000000001</v>
      </c>
      <c r="H247" s="71">
        <v>6.6139999999999999</v>
      </c>
      <c r="I247" s="71">
        <v>6.6269999999999998</v>
      </c>
      <c r="J247" s="71">
        <v>6.6950000000000003</v>
      </c>
      <c r="K247" s="71">
        <v>6.7030000000000003</v>
      </c>
      <c r="L247" s="67"/>
    </row>
    <row r="248" spans="1:12" ht="15.75" thickBot="1">
      <c r="A248" s="68" t="s">
        <v>360</v>
      </c>
      <c r="B248" s="69" t="s">
        <v>462</v>
      </c>
      <c r="C248" s="69" t="s">
        <v>461</v>
      </c>
      <c r="D248" s="70">
        <v>11.742000000000001</v>
      </c>
      <c r="E248" s="70">
        <v>10.333</v>
      </c>
      <c r="F248" s="71">
        <v>11</v>
      </c>
      <c r="G248" s="71">
        <v>9.5</v>
      </c>
      <c r="H248" s="71">
        <v>7</v>
      </c>
      <c r="I248" s="71">
        <v>7</v>
      </c>
      <c r="J248" s="71">
        <v>7</v>
      </c>
      <c r="K248" s="71">
        <v>7</v>
      </c>
      <c r="L248" s="67"/>
    </row>
    <row r="249" spans="1:12" ht="15.75" thickBot="1">
      <c r="A249" s="68" t="s">
        <v>361</v>
      </c>
      <c r="B249" s="69" t="s">
        <v>460</v>
      </c>
      <c r="C249" s="69" t="s">
        <v>461</v>
      </c>
      <c r="D249" s="70">
        <v>0.63700000000000001</v>
      </c>
      <c r="E249" s="70">
        <v>1.522</v>
      </c>
      <c r="F249" s="71">
        <v>3.0640000000000001</v>
      </c>
      <c r="G249" s="71">
        <v>2.35</v>
      </c>
      <c r="H249" s="71">
        <v>1.9870000000000001</v>
      </c>
      <c r="I249" s="71">
        <v>1.9850000000000001</v>
      </c>
      <c r="J249" s="71">
        <v>2.0390000000000001</v>
      </c>
      <c r="K249" s="71">
        <v>2.0129999999999999</v>
      </c>
      <c r="L249" s="67"/>
    </row>
    <row r="250" spans="1:12" ht="15.75" thickBot="1">
      <c r="A250" s="68" t="s">
        <v>361</v>
      </c>
      <c r="B250" s="69" t="s">
        <v>462</v>
      </c>
      <c r="C250" s="69" t="s">
        <v>461</v>
      </c>
      <c r="D250" s="70">
        <v>2.758</v>
      </c>
      <c r="E250" s="70">
        <v>0.153</v>
      </c>
      <c r="F250" s="71">
        <v>1.7</v>
      </c>
      <c r="G250" s="71">
        <v>1.8</v>
      </c>
      <c r="H250" s="71">
        <v>2.5</v>
      </c>
      <c r="I250" s="71">
        <v>2.5</v>
      </c>
      <c r="J250" s="71">
        <v>2.5</v>
      </c>
      <c r="K250" s="71">
        <v>2.5</v>
      </c>
      <c r="L250" s="67"/>
    </row>
    <row r="251" spans="1:12" ht="15.75" thickBot="1">
      <c r="A251" s="68" t="s">
        <v>365</v>
      </c>
      <c r="B251" s="69" t="s">
        <v>460</v>
      </c>
      <c r="C251" s="69" t="s">
        <v>461</v>
      </c>
      <c r="D251" s="71">
        <v>4.9550000000000001</v>
      </c>
      <c r="E251" s="71">
        <v>5.444</v>
      </c>
      <c r="F251" s="71">
        <v>4.9539999999999997</v>
      </c>
      <c r="G251" s="71">
        <v>3.9390000000000001</v>
      </c>
      <c r="H251" s="71">
        <v>3.2349999999999999</v>
      </c>
      <c r="I251" s="71">
        <v>3.38</v>
      </c>
      <c r="J251" s="71">
        <v>3.423</v>
      </c>
      <c r="K251" s="71">
        <v>3.7290000000000001</v>
      </c>
      <c r="L251" s="67"/>
    </row>
    <row r="252" spans="1:12" ht="15.75" thickBot="1">
      <c r="A252" s="68" t="s">
        <v>365</v>
      </c>
      <c r="B252" s="69" t="s">
        <v>462</v>
      </c>
      <c r="C252" s="69" t="s">
        <v>461</v>
      </c>
      <c r="D252" s="71">
        <v>4.1920000000000002</v>
      </c>
      <c r="E252" s="71">
        <v>3.2919999999999998</v>
      </c>
      <c r="F252" s="71">
        <v>4.6900000000000004</v>
      </c>
      <c r="G252" s="71">
        <v>3.008</v>
      </c>
      <c r="H252" s="71">
        <v>2.9079999999999999</v>
      </c>
      <c r="I252" s="71">
        <v>2.8109999999999999</v>
      </c>
      <c r="J252" s="71">
        <v>3.0169999999999999</v>
      </c>
      <c r="K252" s="71">
        <v>3.323</v>
      </c>
      <c r="L252" s="67"/>
    </row>
    <row r="253" spans="1:12" ht="15.75" thickBot="1">
      <c r="A253" s="68" t="s">
        <v>366</v>
      </c>
      <c r="B253" s="69" t="s">
        <v>460</v>
      </c>
      <c r="C253" s="69" t="s">
        <v>461</v>
      </c>
      <c r="D253" s="70">
        <v>3.0659999999999998</v>
      </c>
      <c r="E253" s="70">
        <v>3.0379999999999998</v>
      </c>
      <c r="F253" s="71">
        <v>3.6749999999999998</v>
      </c>
      <c r="G253" s="71">
        <v>3.25</v>
      </c>
      <c r="H253" s="71">
        <v>3.5</v>
      </c>
      <c r="I253" s="71">
        <v>3.5</v>
      </c>
      <c r="J253" s="71">
        <v>3.5</v>
      </c>
      <c r="K253" s="71">
        <v>3.5</v>
      </c>
      <c r="L253" s="67"/>
    </row>
    <row r="254" spans="1:12" ht="15.75" thickBot="1">
      <c r="A254" s="68" t="s">
        <v>366</v>
      </c>
      <c r="B254" s="69" t="s">
        <v>462</v>
      </c>
      <c r="C254" s="69" t="s">
        <v>461</v>
      </c>
      <c r="D254" s="70">
        <v>11.762</v>
      </c>
      <c r="E254" s="70">
        <v>13.313000000000001</v>
      </c>
      <c r="F254" s="71">
        <v>11.265000000000001</v>
      </c>
      <c r="G254" s="71">
        <v>11.765000000000001</v>
      </c>
      <c r="H254" s="71">
        <v>12</v>
      </c>
      <c r="I254" s="71">
        <v>12</v>
      </c>
      <c r="J254" s="71">
        <v>13</v>
      </c>
      <c r="K254" s="71">
        <v>13</v>
      </c>
      <c r="L254" s="67"/>
    </row>
    <row r="255" spans="1:12" ht="15.75" thickBot="1">
      <c r="A255" s="68" t="s">
        <v>370</v>
      </c>
      <c r="B255" s="69" t="s">
        <v>460</v>
      </c>
      <c r="C255" s="69" t="s">
        <v>461</v>
      </c>
      <c r="D255" s="70">
        <v>7.593</v>
      </c>
      <c r="E255" s="70">
        <v>10.579000000000001</v>
      </c>
      <c r="F255" s="71">
        <v>8.48</v>
      </c>
      <c r="G255" s="71">
        <v>7.4580000000000002</v>
      </c>
      <c r="H255" s="71">
        <v>6.7549999999999999</v>
      </c>
      <c r="I255" s="71">
        <v>6.32</v>
      </c>
      <c r="J255" s="71">
        <v>6.06</v>
      </c>
      <c r="K255" s="71">
        <v>5.9740000000000002</v>
      </c>
      <c r="L255" s="67"/>
    </row>
    <row r="256" spans="1:12" ht="15.75" thickBot="1">
      <c r="A256" s="68" t="s">
        <v>370</v>
      </c>
      <c r="B256" s="69" t="s">
        <v>462</v>
      </c>
      <c r="C256" s="69" t="s">
        <v>461</v>
      </c>
      <c r="D256" s="70">
        <v>4.907</v>
      </c>
      <c r="E256" s="70">
        <v>6.3129999999999997</v>
      </c>
      <c r="F256" s="71">
        <v>6.2</v>
      </c>
      <c r="G256" s="71">
        <v>5.5</v>
      </c>
      <c r="H256" s="71">
        <v>4.5</v>
      </c>
      <c r="I256" s="71">
        <v>4</v>
      </c>
      <c r="J256" s="71">
        <v>4</v>
      </c>
      <c r="K256" s="71">
        <v>4</v>
      </c>
      <c r="L256" s="67"/>
    </row>
    <row r="257" spans="1:12" ht="15.75" thickBot="1">
      <c r="A257" s="68" t="s">
        <v>371</v>
      </c>
      <c r="B257" s="69" t="s">
        <v>460</v>
      </c>
      <c r="C257" s="69" t="s">
        <v>461</v>
      </c>
      <c r="D257" s="70">
        <v>7.57</v>
      </c>
      <c r="E257" s="71">
        <v>8.9090000000000007</v>
      </c>
      <c r="F257" s="71">
        <v>7.6719999999999997</v>
      </c>
      <c r="G257" s="71">
        <v>3.9940000000000002</v>
      </c>
      <c r="H257" s="71">
        <v>7.7220000000000004</v>
      </c>
      <c r="I257" s="71">
        <v>20.021000000000001</v>
      </c>
      <c r="J257" s="71">
        <v>5.3730000000000002</v>
      </c>
      <c r="K257" s="71">
        <v>4.8970000000000002</v>
      </c>
      <c r="L257" s="67"/>
    </row>
    <row r="258" spans="1:12" ht="15.75" thickBot="1">
      <c r="A258" s="68" t="s">
        <v>371</v>
      </c>
      <c r="B258" s="69" t="s">
        <v>462</v>
      </c>
      <c r="C258" s="69" t="s">
        <v>461</v>
      </c>
      <c r="D258" s="70">
        <v>7.226</v>
      </c>
      <c r="E258" s="70">
        <v>6.9</v>
      </c>
      <c r="F258" s="71">
        <v>6.798</v>
      </c>
      <c r="G258" s="71">
        <v>6.6970000000000001</v>
      </c>
      <c r="H258" s="71">
        <v>6.5979999999999999</v>
      </c>
      <c r="I258" s="71">
        <v>6.5</v>
      </c>
      <c r="J258" s="71">
        <v>6.5</v>
      </c>
      <c r="K258" s="71">
        <v>6.5</v>
      </c>
      <c r="L258" s="67"/>
    </row>
    <row r="259" spans="1:12" ht="15.75" thickBot="1">
      <c r="A259" s="68" t="s">
        <v>372</v>
      </c>
      <c r="B259" s="69" t="s">
        <v>460</v>
      </c>
      <c r="C259" s="69" t="s">
        <v>461</v>
      </c>
      <c r="D259" s="70">
        <v>13.093</v>
      </c>
      <c r="E259" s="70">
        <v>4.3410000000000002</v>
      </c>
      <c r="F259" s="71">
        <v>-1.5</v>
      </c>
      <c r="G259" s="71">
        <v>11</v>
      </c>
      <c r="H259" s="71">
        <v>4.5999999999999996</v>
      </c>
      <c r="I259" s="71">
        <v>4.7</v>
      </c>
      <c r="J259" s="71">
        <v>4.7</v>
      </c>
      <c r="K259" s="71">
        <v>4.7</v>
      </c>
      <c r="L259" s="67"/>
    </row>
    <row r="260" spans="1:12" ht="15.75" thickBot="1">
      <c r="A260" s="68" t="s">
        <v>372</v>
      </c>
      <c r="B260" s="69" t="s">
        <v>462</v>
      </c>
      <c r="C260" s="69" t="s">
        <v>461</v>
      </c>
      <c r="D260" s="70">
        <v>7.2149999999999999</v>
      </c>
      <c r="E260" s="70">
        <v>4.9400000000000004</v>
      </c>
      <c r="F260" s="71">
        <v>5</v>
      </c>
      <c r="G260" s="71">
        <v>5</v>
      </c>
      <c r="H260" s="71">
        <v>5</v>
      </c>
      <c r="I260" s="71">
        <v>4.5999999999999996</v>
      </c>
      <c r="J260" s="71">
        <v>4.3</v>
      </c>
      <c r="K260" s="71">
        <v>4</v>
      </c>
      <c r="L260" s="67"/>
    </row>
    <row r="261" spans="1:12" ht="15.75" thickBot="1">
      <c r="A261" s="68" t="s">
        <v>373</v>
      </c>
      <c r="B261" s="69" t="s">
        <v>460</v>
      </c>
      <c r="C261" s="69" t="s">
        <v>461</v>
      </c>
      <c r="D261" s="70">
        <v>8.7940000000000005</v>
      </c>
      <c r="E261" s="70">
        <v>6.9119999999999999</v>
      </c>
      <c r="F261" s="71">
        <v>6.048</v>
      </c>
      <c r="G261" s="71">
        <v>5.7990000000000004</v>
      </c>
      <c r="H261" s="71">
        <v>6.0469999999999997</v>
      </c>
      <c r="I261" s="71">
        <v>6.0060000000000002</v>
      </c>
      <c r="J261" s="71">
        <v>6.0010000000000003</v>
      </c>
      <c r="K261" s="71">
        <v>6.016</v>
      </c>
      <c r="L261" s="67"/>
    </row>
    <row r="262" spans="1:12" ht="15.75" thickBot="1">
      <c r="A262" s="68" t="s">
        <v>373</v>
      </c>
      <c r="B262" s="69" t="s">
        <v>462</v>
      </c>
      <c r="C262" s="69" t="s">
        <v>461</v>
      </c>
      <c r="D262" s="70">
        <v>2.0760000000000001</v>
      </c>
      <c r="E262" s="70">
        <v>4.7380000000000004</v>
      </c>
      <c r="F262" s="71">
        <v>3</v>
      </c>
      <c r="G262" s="71">
        <v>2</v>
      </c>
      <c r="H262" s="71">
        <v>2</v>
      </c>
      <c r="I262" s="71">
        <v>2</v>
      </c>
      <c r="J262" s="71">
        <v>2</v>
      </c>
      <c r="K262" s="71">
        <v>2</v>
      </c>
      <c r="L262" s="67"/>
    </row>
    <row r="263" spans="1:12" ht="15.75" thickBot="1">
      <c r="A263" s="68" t="s">
        <v>377</v>
      </c>
      <c r="B263" s="69" t="s">
        <v>460</v>
      </c>
      <c r="C263" s="69" t="s">
        <v>461</v>
      </c>
      <c r="D263" s="70">
        <v>7.6319999999999997</v>
      </c>
      <c r="E263" s="70">
        <v>3.9089999999999998</v>
      </c>
      <c r="F263" s="71">
        <v>4.84</v>
      </c>
      <c r="G263" s="71">
        <v>4.782</v>
      </c>
      <c r="H263" s="71">
        <v>5</v>
      </c>
      <c r="I263" s="71">
        <v>5</v>
      </c>
      <c r="J263" s="71">
        <v>5</v>
      </c>
      <c r="K263" s="71">
        <v>5</v>
      </c>
      <c r="L263" s="67"/>
    </row>
    <row r="264" spans="1:12" ht="15.75" thickBot="1">
      <c r="A264" s="68" t="s">
        <v>377</v>
      </c>
      <c r="B264" s="69" t="s">
        <v>462</v>
      </c>
      <c r="C264" s="69" t="s">
        <v>461</v>
      </c>
      <c r="D264" s="70">
        <v>3.6379999999999999</v>
      </c>
      <c r="E264" s="70">
        <v>4.1630000000000003</v>
      </c>
      <c r="F264" s="71">
        <v>4.6210000000000004</v>
      </c>
      <c r="G264" s="71">
        <v>4.0419999999999998</v>
      </c>
      <c r="H264" s="71">
        <v>4</v>
      </c>
      <c r="I264" s="71">
        <v>4</v>
      </c>
      <c r="J264" s="71">
        <v>4</v>
      </c>
      <c r="K264" s="71">
        <v>4</v>
      </c>
      <c r="L264" s="67"/>
    </row>
    <row r="265" spans="1:12" ht="15.75" thickBot="1">
      <c r="A265" s="68" t="s">
        <v>380</v>
      </c>
      <c r="B265" s="69" t="s">
        <v>460</v>
      </c>
      <c r="C265" s="69" t="s">
        <v>461</v>
      </c>
      <c r="D265" s="70">
        <v>3.871</v>
      </c>
      <c r="E265" s="70">
        <v>4.3150000000000004</v>
      </c>
      <c r="F265" s="71">
        <v>2.35</v>
      </c>
      <c r="G265" s="71">
        <v>2.0499999999999998</v>
      </c>
      <c r="H265" s="71">
        <v>2.7160000000000002</v>
      </c>
      <c r="I265" s="71">
        <v>3.1080000000000001</v>
      </c>
      <c r="J265" s="71">
        <v>3.4279999999999999</v>
      </c>
      <c r="K265" s="71">
        <v>3.5630000000000002</v>
      </c>
      <c r="L265" s="67"/>
    </row>
    <row r="266" spans="1:12" ht="15.75" thickBot="1">
      <c r="A266" s="68" t="s">
        <v>380</v>
      </c>
      <c r="B266" s="69" t="s">
        <v>462</v>
      </c>
      <c r="C266" s="69" t="s">
        <v>461</v>
      </c>
      <c r="D266" s="70">
        <v>3.1</v>
      </c>
      <c r="E266" s="70">
        <v>4.5999999999999996</v>
      </c>
      <c r="F266" s="71">
        <v>3.2</v>
      </c>
      <c r="G266" s="71">
        <v>2.5</v>
      </c>
      <c r="H266" s="71">
        <v>2.5</v>
      </c>
      <c r="I266" s="71">
        <v>2.5</v>
      </c>
      <c r="J266" s="71">
        <v>2.5</v>
      </c>
      <c r="K266" s="71">
        <v>2.5</v>
      </c>
      <c r="L266" s="67"/>
    </row>
    <row r="267" spans="1:12" ht="15.75" thickBot="1">
      <c r="A267" s="68" t="s">
        <v>383</v>
      </c>
      <c r="B267" s="69" t="s">
        <v>460</v>
      </c>
      <c r="C267" s="69" t="s">
        <v>461</v>
      </c>
      <c r="D267" s="70">
        <v>1.401</v>
      </c>
      <c r="E267" s="70">
        <v>-1.669</v>
      </c>
      <c r="F267" s="71">
        <v>-3.0049999999999999</v>
      </c>
      <c r="G267" s="71">
        <v>-1.0149999999999999</v>
      </c>
      <c r="H267" s="71">
        <v>1.198</v>
      </c>
      <c r="I267" s="71">
        <v>1.85</v>
      </c>
      <c r="J267" s="71">
        <v>1.89</v>
      </c>
      <c r="K267" s="71">
        <v>1.78</v>
      </c>
      <c r="L267" s="67"/>
    </row>
    <row r="268" spans="1:12" ht="15.75" thickBot="1">
      <c r="A268" s="68" t="s">
        <v>383</v>
      </c>
      <c r="B268" s="69" t="s">
        <v>462</v>
      </c>
      <c r="C268" s="69" t="s">
        <v>461</v>
      </c>
      <c r="D268" s="70">
        <v>2.4460000000000002</v>
      </c>
      <c r="E268" s="70">
        <v>3.4950000000000001</v>
      </c>
      <c r="F268" s="71">
        <v>2.2559999999999998</v>
      </c>
      <c r="G268" s="71">
        <v>0.218</v>
      </c>
      <c r="H268" s="71">
        <v>1.607</v>
      </c>
      <c r="I268" s="71">
        <v>1.2310000000000001</v>
      </c>
      <c r="J268" s="71">
        <v>2.1070000000000002</v>
      </c>
      <c r="K268" s="71">
        <v>0.89100000000000001</v>
      </c>
      <c r="L268" s="67"/>
    </row>
    <row r="269" spans="1:12" ht="15.75" thickBot="1">
      <c r="A269" s="68" t="s">
        <v>387</v>
      </c>
      <c r="B269" s="69" t="s">
        <v>460</v>
      </c>
      <c r="C269" s="69" t="s">
        <v>461</v>
      </c>
      <c r="D269" s="70">
        <v>16.728999999999999</v>
      </c>
      <c r="E269" s="70">
        <v>14.119</v>
      </c>
      <c r="F269" s="71">
        <v>6.2869999999999999</v>
      </c>
      <c r="G269" s="71">
        <v>4.9379999999999997</v>
      </c>
      <c r="H269" s="71">
        <v>5.0709999999999997</v>
      </c>
      <c r="I269" s="71">
        <v>6.25</v>
      </c>
      <c r="J269" s="71">
        <v>6.3410000000000002</v>
      </c>
      <c r="K269" s="71">
        <v>7.2969999999999997</v>
      </c>
      <c r="L269" s="67"/>
    </row>
    <row r="270" spans="1:12" ht="15.75" thickBot="1">
      <c r="A270" s="68" t="s">
        <v>387</v>
      </c>
      <c r="B270" s="69" t="s">
        <v>462</v>
      </c>
      <c r="C270" s="69" t="s">
        <v>461</v>
      </c>
      <c r="D270" s="70">
        <v>0.40200000000000002</v>
      </c>
      <c r="E270" s="70">
        <v>1.923</v>
      </c>
      <c r="F270" s="71">
        <v>2.0209999999999999</v>
      </c>
      <c r="G270" s="71">
        <v>3.016</v>
      </c>
      <c r="H270" s="71">
        <v>2.988</v>
      </c>
      <c r="I270" s="71">
        <v>4.0250000000000004</v>
      </c>
      <c r="J270" s="71">
        <v>4.0250000000000004</v>
      </c>
      <c r="K270" s="71">
        <v>4</v>
      </c>
      <c r="L270" s="67"/>
    </row>
    <row r="271" spans="1:12" ht="15.75" thickBot="1">
      <c r="A271" s="68" t="s">
        <v>390</v>
      </c>
      <c r="B271" s="69" t="s">
        <v>460</v>
      </c>
      <c r="C271" s="69" t="s">
        <v>461</v>
      </c>
      <c r="D271" s="70">
        <v>-1.649</v>
      </c>
      <c r="E271" s="71">
        <v>2.4540000000000002</v>
      </c>
      <c r="F271" s="71">
        <v>0.94899999999999995</v>
      </c>
      <c r="G271" s="71">
        <v>2.476</v>
      </c>
      <c r="H271" s="71">
        <v>3.0049999999999999</v>
      </c>
      <c r="I271" s="71">
        <v>3.3159999999999998</v>
      </c>
      <c r="J271" s="71">
        <v>3.5190000000000001</v>
      </c>
      <c r="K271" s="71">
        <v>3.5350000000000001</v>
      </c>
      <c r="L271" s="67"/>
    </row>
    <row r="272" spans="1:12" ht="15.75" thickBot="1">
      <c r="A272" s="68" t="s">
        <v>390</v>
      </c>
      <c r="B272" s="69" t="s">
        <v>462</v>
      </c>
      <c r="C272" s="69" t="s">
        <v>461</v>
      </c>
      <c r="D272" s="70">
        <v>7.96</v>
      </c>
      <c r="E272" s="71">
        <v>3.14</v>
      </c>
      <c r="F272" s="71">
        <v>3.64</v>
      </c>
      <c r="G272" s="71">
        <v>3.2090000000000001</v>
      </c>
      <c r="H272" s="71">
        <v>3</v>
      </c>
      <c r="I272" s="71">
        <v>2.9</v>
      </c>
      <c r="J272" s="71">
        <v>2.7</v>
      </c>
      <c r="K272" s="71">
        <v>2.6</v>
      </c>
      <c r="L272" s="67"/>
    </row>
    <row r="273" spans="1:12" ht="15.75" thickBot="1">
      <c r="A273" s="68" t="s">
        <v>393</v>
      </c>
      <c r="B273" s="69" t="s">
        <v>460</v>
      </c>
      <c r="C273" s="69" t="s">
        <v>461</v>
      </c>
      <c r="D273" s="70">
        <v>4.3</v>
      </c>
      <c r="E273" s="70">
        <v>4.3</v>
      </c>
      <c r="F273" s="71">
        <v>3.698</v>
      </c>
      <c r="G273" s="71">
        <v>3.823</v>
      </c>
      <c r="H273" s="71">
        <v>3.88</v>
      </c>
      <c r="I273" s="71">
        <v>3.9</v>
      </c>
      <c r="J273" s="71">
        <v>3.84</v>
      </c>
      <c r="K273" s="71">
        <v>3.8</v>
      </c>
      <c r="L273" s="67"/>
    </row>
    <row r="274" spans="1:12" ht="15.75" thickBot="1">
      <c r="A274" s="68" t="s">
        <v>393</v>
      </c>
      <c r="B274" s="69" t="s">
        <v>462</v>
      </c>
      <c r="C274" s="69" t="s">
        <v>461</v>
      </c>
      <c r="D274" s="70">
        <v>8.7799999999999994</v>
      </c>
      <c r="E274" s="70">
        <v>6.1</v>
      </c>
      <c r="F274" s="71">
        <v>6.7080000000000002</v>
      </c>
      <c r="G274" s="71">
        <v>6.5</v>
      </c>
      <c r="H274" s="71">
        <v>6.5</v>
      </c>
      <c r="I274" s="71">
        <v>6.5</v>
      </c>
      <c r="J274" s="71">
        <v>6.5</v>
      </c>
      <c r="K274" s="71">
        <v>6.5</v>
      </c>
      <c r="L274" s="67"/>
    </row>
    <row r="275" spans="1:12" ht="15.75" thickBot="1">
      <c r="A275" s="68" t="s">
        <v>513</v>
      </c>
      <c r="B275" s="69" t="s">
        <v>460</v>
      </c>
      <c r="C275" s="69" t="s">
        <v>461</v>
      </c>
      <c r="D275" s="70">
        <v>7.218</v>
      </c>
      <c r="E275" s="71">
        <v>8.5790000000000006</v>
      </c>
      <c r="F275" s="71">
        <v>7.7</v>
      </c>
      <c r="G275" s="71">
        <v>7.5</v>
      </c>
      <c r="H275" s="71">
        <v>7.2</v>
      </c>
      <c r="I275" s="71">
        <v>7</v>
      </c>
      <c r="J275" s="71">
        <v>7</v>
      </c>
      <c r="K275" s="71">
        <v>7</v>
      </c>
      <c r="L275" s="67"/>
    </row>
    <row r="276" spans="1:12" ht="15.75" thickBot="1">
      <c r="A276" s="68" t="s">
        <v>513</v>
      </c>
      <c r="B276" s="69" t="s">
        <v>462</v>
      </c>
      <c r="C276" s="69" t="s">
        <v>461</v>
      </c>
      <c r="D276" s="70">
        <v>0.22700000000000001</v>
      </c>
      <c r="E276" s="71">
        <v>8.3360000000000003</v>
      </c>
      <c r="F276" s="71">
        <v>6.3</v>
      </c>
      <c r="G276" s="71">
        <v>5.9</v>
      </c>
      <c r="H276" s="71">
        <v>5</v>
      </c>
      <c r="I276" s="71">
        <v>5</v>
      </c>
      <c r="J276" s="71">
        <v>5</v>
      </c>
      <c r="K276" s="71">
        <v>5</v>
      </c>
      <c r="L276" s="67"/>
    </row>
    <row r="277" spans="1:12" ht="15.75" thickBot="1">
      <c r="A277" s="68" t="s">
        <v>514</v>
      </c>
      <c r="B277" s="69" t="s">
        <v>460</v>
      </c>
      <c r="C277" s="69" t="s">
        <v>461</v>
      </c>
      <c r="D277" s="70">
        <v>0.37</v>
      </c>
      <c r="E277" s="70">
        <v>1.9990000000000001</v>
      </c>
      <c r="F277" s="71">
        <v>1.456</v>
      </c>
      <c r="G277" s="71">
        <v>1.893</v>
      </c>
      <c r="H277" s="71">
        <v>2.2679999999999998</v>
      </c>
      <c r="I277" s="71">
        <v>2.468</v>
      </c>
      <c r="J277" s="71">
        <v>2.5569999999999999</v>
      </c>
      <c r="K277" s="71">
        <v>2.5169999999999999</v>
      </c>
      <c r="L277" s="67"/>
    </row>
    <row r="278" spans="1:12" ht="15.75" thickBot="1">
      <c r="A278" s="68" t="s">
        <v>514</v>
      </c>
      <c r="B278" s="69" t="s">
        <v>462</v>
      </c>
      <c r="C278" s="69" t="s">
        <v>461</v>
      </c>
      <c r="D278" s="70">
        <v>-0.29599999999999999</v>
      </c>
      <c r="E278" s="70">
        <v>2.8679999999999999</v>
      </c>
      <c r="F278" s="71">
        <v>5.5</v>
      </c>
      <c r="G278" s="71">
        <v>4</v>
      </c>
      <c r="H278" s="71">
        <v>4</v>
      </c>
      <c r="I278" s="71">
        <v>4</v>
      </c>
      <c r="J278" s="71">
        <v>4</v>
      </c>
      <c r="K278" s="71">
        <v>4</v>
      </c>
      <c r="L278" s="67"/>
    </row>
    <row r="279" spans="1:12" ht="15.75" thickBot="1">
      <c r="A279" s="68" t="s">
        <v>515</v>
      </c>
      <c r="B279" s="69" t="s">
        <v>460</v>
      </c>
      <c r="C279" s="69" t="s">
        <v>461</v>
      </c>
      <c r="D279" s="70">
        <v>-5.1840000000000002</v>
      </c>
      <c r="E279" s="71">
        <v>-2.5990000000000002</v>
      </c>
      <c r="F279" s="71">
        <v>-2.573</v>
      </c>
      <c r="G279" s="71">
        <v>0.498</v>
      </c>
      <c r="H279" s="71">
        <v>0.84499999999999997</v>
      </c>
      <c r="I279" s="71">
        <v>1.151</v>
      </c>
      <c r="J279" s="71">
        <v>1.24</v>
      </c>
      <c r="K279" s="71">
        <v>1.3</v>
      </c>
      <c r="L279" s="67"/>
    </row>
    <row r="280" spans="1:12" ht="15.75" thickBot="1">
      <c r="A280" s="68" t="s">
        <v>515</v>
      </c>
      <c r="B280" s="69" t="s">
        <v>462</v>
      </c>
      <c r="C280" s="69" t="s">
        <v>461</v>
      </c>
      <c r="D280" s="70">
        <v>2.9910000000000001</v>
      </c>
      <c r="E280" s="70">
        <v>2</v>
      </c>
      <c r="F280" s="71">
        <v>1.9</v>
      </c>
      <c r="G280" s="71">
        <v>1.8</v>
      </c>
      <c r="H280" s="71">
        <v>1.7</v>
      </c>
      <c r="I280" s="71">
        <v>1.6</v>
      </c>
      <c r="J280" s="71">
        <v>1.5</v>
      </c>
      <c r="K280" s="71">
        <v>1.4</v>
      </c>
      <c r="L280" s="67"/>
    </row>
    <row r="281" spans="1:12" ht="15.75" thickBot="1">
      <c r="A281" s="68" t="s">
        <v>516</v>
      </c>
      <c r="B281" s="69" t="s">
        <v>460</v>
      </c>
      <c r="C281" s="69" t="s">
        <v>461</v>
      </c>
      <c r="D281" s="70">
        <v>4.5110000000000001</v>
      </c>
      <c r="E281" s="71">
        <v>4.9429999999999996</v>
      </c>
      <c r="F281" s="71">
        <v>4.5</v>
      </c>
      <c r="G281" s="71">
        <v>5.5</v>
      </c>
      <c r="H281" s="71">
        <v>6</v>
      </c>
      <c r="I281" s="71">
        <v>39.345999999999997</v>
      </c>
      <c r="J281" s="71">
        <v>49</v>
      </c>
      <c r="K281" s="71">
        <v>10.901</v>
      </c>
      <c r="L281" s="67"/>
    </row>
    <row r="282" spans="1:12" ht="15.75" thickBot="1">
      <c r="A282" s="68" t="s">
        <v>516</v>
      </c>
      <c r="B282" s="69" t="s">
        <v>462</v>
      </c>
      <c r="C282" s="69" t="s">
        <v>461</v>
      </c>
      <c r="D282" s="70">
        <v>12.89</v>
      </c>
      <c r="E282" s="70">
        <v>11.939</v>
      </c>
      <c r="F282" s="71">
        <v>8.3010000000000002</v>
      </c>
      <c r="G282" s="71">
        <v>6</v>
      </c>
      <c r="H282" s="71">
        <v>4</v>
      </c>
      <c r="I282" s="71">
        <v>3</v>
      </c>
      <c r="J282" s="71">
        <v>3</v>
      </c>
      <c r="K282" s="71">
        <v>3</v>
      </c>
      <c r="L282" s="67"/>
    </row>
    <row r="283" spans="1:12" ht="15.75" thickBot="1">
      <c r="A283" s="68" t="s">
        <v>395</v>
      </c>
      <c r="B283" s="69" t="s">
        <v>460</v>
      </c>
      <c r="C283" s="69" t="s">
        <v>461</v>
      </c>
      <c r="D283" s="70">
        <v>5.1189999999999998</v>
      </c>
      <c r="E283" s="70">
        <v>7.0549999999999997</v>
      </c>
      <c r="F283" s="71">
        <v>5.9649999999999999</v>
      </c>
      <c r="G283" s="71">
        <v>4.1520000000000001</v>
      </c>
      <c r="H283" s="71">
        <v>3.823</v>
      </c>
      <c r="I283" s="71">
        <v>4.2990000000000004</v>
      </c>
      <c r="J283" s="71">
        <v>4.2679999999999998</v>
      </c>
      <c r="K283" s="71">
        <v>4.1820000000000004</v>
      </c>
      <c r="L283" s="67"/>
    </row>
    <row r="284" spans="1:12" ht="15.75" thickBot="1">
      <c r="A284" s="68" t="s">
        <v>395</v>
      </c>
      <c r="B284" s="69" t="s">
        <v>462</v>
      </c>
      <c r="C284" s="69" t="s">
        <v>461</v>
      </c>
      <c r="D284" s="70">
        <v>5.431</v>
      </c>
      <c r="E284" s="70">
        <v>5.3029999999999999</v>
      </c>
      <c r="F284" s="71">
        <v>4.7469999999999999</v>
      </c>
      <c r="G284" s="71">
        <v>3.9609999999999999</v>
      </c>
      <c r="H284" s="71">
        <v>4.016</v>
      </c>
      <c r="I284" s="71">
        <v>4.008</v>
      </c>
      <c r="J284" s="71">
        <v>4.0030000000000001</v>
      </c>
      <c r="K284" s="71">
        <v>3.9990000000000001</v>
      </c>
      <c r="L284" s="67"/>
    </row>
    <row r="285" spans="1:12" ht="15.75" thickBot="1">
      <c r="A285" s="68" t="s">
        <v>399</v>
      </c>
      <c r="B285" s="69" t="s">
        <v>460</v>
      </c>
      <c r="C285" s="69" t="s">
        <v>461</v>
      </c>
      <c r="D285" s="70">
        <v>4.1260000000000003</v>
      </c>
      <c r="E285" s="70">
        <v>2.6160000000000001</v>
      </c>
      <c r="F285" s="71">
        <v>3.69</v>
      </c>
      <c r="G285" s="71">
        <v>4.3330000000000002</v>
      </c>
      <c r="H285" s="71">
        <v>5.1230000000000002</v>
      </c>
      <c r="I285" s="71">
        <v>5.4189999999999996</v>
      </c>
      <c r="J285" s="71">
        <v>5.5350000000000001</v>
      </c>
      <c r="K285" s="71">
        <v>5.5810000000000004</v>
      </c>
      <c r="L285" s="67"/>
    </row>
    <row r="286" spans="1:12" ht="15.75" thickBot="1">
      <c r="A286" s="68" t="s">
        <v>399</v>
      </c>
      <c r="B286" s="69" t="s">
        <v>462</v>
      </c>
      <c r="C286" s="69" t="s">
        <v>461</v>
      </c>
      <c r="D286" s="70">
        <v>4.29</v>
      </c>
      <c r="E286" s="70">
        <v>2.7469999999999999</v>
      </c>
      <c r="F286" s="71">
        <v>2.194</v>
      </c>
      <c r="G286" s="71">
        <v>2.1389999999999998</v>
      </c>
      <c r="H286" s="71">
        <v>2.141</v>
      </c>
      <c r="I286" s="71">
        <v>2.1429999999999998</v>
      </c>
      <c r="J286" s="71">
        <v>2.0739999999999998</v>
      </c>
      <c r="K286" s="71">
        <v>2.0750000000000002</v>
      </c>
      <c r="L286" s="67"/>
    </row>
    <row r="287" spans="1:12" ht="15.75" thickBot="1">
      <c r="A287" s="68" t="s">
        <v>517</v>
      </c>
      <c r="B287" s="69" t="s">
        <v>460</v>
      </c>
      <c r="C287" s="69" t="s">
        <v>461</v>
      </c>
      <c r="D287" s="70">
        <v>1.0229999999999999</v>
      </c>
      <c r="E287" s="71">
        <v>1.621</v>
      </c>
      <c r="F287" s="71">
        <v>-0.47699999999999998</v>
      </c>
      <c r="G287" s="71">
        <v>2.0489999999999999</v>
      </c>
      <c r="H287" s="71">
        <v>2.5449999999999999</v>
      </c>
      <c r="I287" s="71">
        <v>2.2000000000000002</v>
      </c>
      <c r="J287" s="71">
        <v>2</v>
      </c>
      <c r="K287" s="71">
        <v>2</v>
      </c>
      <c r="L287" s="67"/>
    </row>
    <row r="288" spans="1:12" ht="15.75" thickBot="1">
      <c r="A288" s="68" t="s">
        <v>517</v>
      </c>
      <c r="B288" s="69" t="s">
        <v>462</v>
      </c>
      <c r="C288" s="69" t="s">
        <v>461</v>
      </c>
      <c r="D288" s="70">
        <v>10.260999999999999</v>
      </c>
      <c r="E288" s="70">
        <v>7</v>
      </c>
      <c r="F288" s="71">
        <v>8.6219999999999999</v>
      </c>
      <c r="G288" s="71">
        <v>5.0170000000000003</v>
      </c>
      <c r="H288" s="71">
        <v>4</v>
      </c>
      <c r="I288" s="71">
        <v>4</v>
      </c>
      <c r="J288" s="71">
        <v>4</v>
      </c>
      <c r="K288" s="71">
        <v>3.5</v>
      </c>
      <c r="L288" s="67"/>
    </row>
    <row r="289" spans="1:12" ht="15.75" thickBot="1">
      <c r="A289" s="68" t="s">
        <v>518</v>
      </c>
      <c r="B289" s="69" t="s">
        <v>460</v>
      </c>
      <c r="C289" s="69" t="s">
        <v>461</v>
      </c>
      <c r="D289" s="70">
        <v>6.7110000000000003</v>
      </c>
      <c r="E289" s="71">
        <v>5.109</v>
      </c>
      <c r="F289" s="71">
        <v>3.0070000000000001</v>
      </c>
      <c r="G289" s="71">
        <v>3.5230000000000001</v>
      </c>
      <c r="H289" s="71">
        <v>4.032</v>
      </c>
      <c r="I289" s="71">
        <v>4.0620000000000003</v>
      </c>
      <c r="J289" s="71">
        <v>3.782</v>
      </c>
      <c r="K289" s="71">
        <v>3.8119999999999998</v>
      </c>
      <c r="L289" s="67"/>
    </row>
    <row r="290" spans="1:12" ht="15.75" thickBot="1">
      <c r="A290" s="68" t="s">
        <v>518</v>
      </c>
      <c r="B290" s="69" t="s">
        <v>462</v>
      </c>
      <c r="C290" s="69" t="s">
        <v>461</v>
      </c>
      <c r="D290" s="70">
        <v>0.40500000000000003</v>
      </c>
      <c r="E290" s="70">
        <v>5.5119999999999996</v>
      </c>
      <c r="F290" s="71">
        <v>7.0449999999999999</v>
      </c>
      <c r="G290" s="71">
        <v>3.1440000000000001</v>
      </c>
      <c r="H290" s="71">
        <v>3.1440000000000001</v>
      </c>
      <c r="I290" s="71">
        <v>3.1440000000000001</v>
      </c>
      <c r="J290" s="71">
        <v>3.1440000000000001</v>
      </c>
      <c r="K290" s="71">
        <v>3.1440000000000001</v>
      </c>
      <c r="L290" s="67"/>
    </row>
    <row r="291" spans="1:12" ht="15.75" thickBot="1">
      <c r="A291" s="68" t="s">
        <v>519</v>
      </c>
      <c r="B291" s="69" t="s">
        <v>460</v>
      </c>
      <c r="C291" s="69" t="s">
        <v>461</v>
      </c>
      <c r="D291" s="70">
        <v>5.2830000000000004</v>
      </c>
      <c r="E291" s="71">
        <v>6.0090000000000003</v>
      </c>
      <c r="F291" s="71">
        <v>21.291</v>
      </c>
      <c r="G291" s="71">
        <v>7.5469999999999997</v>
      </c>
      <c r="H291" s="71">
        <v>13.042999999999999</v>
      </c>
      <c r="I291" s="71">
        <v>4.8600000000000003</v>
      </c>
      <c r="J291" s="71">
        <v>4.9130000000000003</v>
      </c>
      <c r="K291" s="71">
        <v>4.9640000000000004</v>
      </c>
      <c r="L291" s="67"/>
    </row>
    <row r="292" spans="1:12" ht="15.75" thickBot="1">
      <c r="A292" s="68" t="s">
        <v>519</v>
      </c>
      <c r="B292" s="69" t="s">
        <v>462</v>
      </c>
      <c r="C292" s="69" t="s">
        <v>461</v>
      </c>
      <c r="D292" s="70">
        <v>18.396999999999998</v>
      </c>
      <c r="E292" s="71">
        <v>16.911000000000001</v>
      </c>
      <c r="F292" s="71">
        <v>11</v>
      </c>
      <c r="G292" s="71">
        <v>7.5</v>
      </c>
      <c r="H292" s="71">
        <v>7</v>
      </c>
      <c r="I292" s="71">
        <v>5.5</v>
      </c>
      <c r="J292" s="71">
        <v>5.4</v>
      </c>
      <c r="K292" s="71">
        <v>5.4</v>
      </c>
      <c r="L292" s="67"/>
    </row>
    <row r="293" spans="1:12" ht="15.75" thickBot="1">
      <c r="A293" s="68" t="s">
        <v>400</v>
      </c>
      <c r="B293" s="69" t="s">
        <v>460</v>
      </c>
      <c r="C293" s="69" t="s">
        <v>461</v>
      </c>
      <c r="D293" s="70">
        <v>14.763</v>
      </c>
      <c r="E293" s="70">
        <v>4.8890000000000002</v>
      </c>
      <c r="F293" s="71">
        <v>2.0779999999999998</v>
      </c>
      <c r="G293" s="71">
        <v>2.9020000000000001</v>
      </c>
      <c r="H293" s="71">
        <v>3.593</v>
      </c>
      <c r="I293" s="71">
        <v>3.7229999999999999</v>
      </c>
      <c r="J293" s="71">
        <v>3.778</v>
      </c>
      <c r="K293" s="71">
        <v>3.9390000000000001</v>
      </c>
      <c r="L293" s="67"/>
    </row>
    <row r="294" spans="1:12" ht="15.75" thickBot="1">
      <c r="A294" s="68" t="s">
        <v>400</v>
      </c>
      <c r="B294" s="69" t="s">
        <v>462</v>
      </c>
      <c r="C294" s="69" t="s">
        <v>461</v>
      </c>
      <c r="D294" s="70">
        <v>3.9670000000000001</v>
      </c>
      <c r="E294" s="70">
        <v>5.5359999999999996</v>
      </c>
      <c r="F294" s="71">
        <v>3.7879999999999998</v>
      </c>
      <c r="G294" s="71">
        <v>4.9109999999999996</v>
      </c>
      <c r="H294" s="71">
        <v>3.4649999999999999</v>
      </c>
      <c r="I294" s="71">
        <v>2.7250000000000001</v>
      </c>
      <c r="J294" s="71">
        <v>2.7650000000000001</v>
      </c>
      <c r="K294" s="71">
        <v>2.3439999999999999</v>
      </c>
      <c r="L294" s="67"/>
    </row>
    <row r="295" spans="1:12" ht="15.75" thickBot="1">
      <c r="A295" s="68" t="s">
        <v>520</v>
      </c>
      <c r="B295" s="69" t="s">
        <v>460</v>
      </c>
      <c r="C295" s="69" t="s">
        <v>461</v>
      </c>
      <c r="D295" s="70">
        <v>4.1829999999999998</v>
      </c>
      <c r="E295" s="70">
        <v>3.3490000000000002</v>
      </c>
      <c r="F295" s="71">
        <v>2.64</v>
      </c>
      <c r="G295" s="71">
        <v>2.8</v>
      </c>
      <c r="H295" s="71">
        <v>3.6</v>
      </c>
      <c r="I295" s="71">
        <v>3.6</v>
      </c>
      <c r="J295" s="71">
        <v>3.6</v>
      </c>
      <c r="K295" s="71">
        <v>3.645</v>
      </c>
      <c r="L295" s="67"/>
    </row>
    <row r="296" spans="1:12" ht="15.75" thickBot="1">
      <c r="A296" s="68" t="s">
        <v>520</v>
      </c>
      <c r="B296" s="69" t="s">
        <v>462</v>
      </c>
      <c r="C296" s="69" t="s">
        <v>461</v>
      </c>
      <c r="D296" s="70">
        <v>1.339</v>
      </c>
      <c r="E296" s="70">
        <v>4.6520000000000001</v>
      </c>
      <c r="F296" s="71">
        <v>2.4649999999999999</v>
      </c>
      <c r="G296" s="71">
        <v>2.6309999999999998</v>
      </c>
      <c r="H296" s="71">
        <v>2.2999999999999998</v>
      </c>
      <c r="I296" s="71">
        <v>2.2999999999999998</v>
      </c>
      <c r="J296" s="71">
        <v>2.2999999999999998</v>
      </c>
      <c r="K296" s="71">
        <v>2.2999999999999998</v>
      </c>
      <c r="L296" s="67"/>
    </row>
    <row r="297" spans="1:12" ht="15.75" thickBot="1">
      <c r="A297" s="68" t="s">
        <v>404</v>
      </c>
      <c r="B297" s="69" t="s">
        <v>460</v>
      </c>
      <c r="C297" s="69" t="s">
        <v>461</v>
      </c>
      <c r="D297" s="70">
        <v>1.24</v>
      </c>
      <c r="E297" s="70">
        <v>0.6</v>
      </c>
      <c r="F297" s="71">
        <v>-2.2200000000000002</v>
      </c>
      <c r="G297" s="71">
        <v>-0.35799999999999998</v>
      </c>
      <c r="H297" s="71">
        <v>1.7130000000000001</v>
      </c>
      <c r="I297" s="71">
        <v>2.08</v>
      </c>
      <c r="J297" s="71">
        <v>2.3029999999999999</v>
      </c>
      <c r="K297" s="71">
        <v>2.34</v>
      </c>
      <c r="L297" s="67"/>
    </row>
    <row r="298" spans="1:12" ht="15.75" thickBot="1">
      <c r="A298" s="68" t="s">
        <v>404</v>
      </c>
      <c r="B298" s="69" t="s">
        <v>462</v>
      </c>
      <c r="C298" s="69" t="s">
        <v>461</v>
      </c>
      <c r="D298" s="70">
        <v>1.857</v>
      </c>
      <c r="E298" s="70">
        <v>2.073</v>
      </c>
      <c r="F298" s="71">
        <v>1.722</v>
      </c>
      <c r="G298" s="71">
        <v>1.4</v>
      </c>
      <c r="H298" s="71">
        <v>2</v>
      </c>
      <c r="I298" s="71">
        <v>2.1</v>
      </c>
      <c r="J298" s="71">
        <v>2.1</v>
      </c>
      <c r="K298" s="71">
        <v>2.1</v>
      </c>
      <c r="L298" s="67"/>
    </row>
    <row r="299" spans="1:12" ht="15.75" thickBot="1">
      <c r="A299" s="68" t="s">
        <v>521</v>
      </c>
      <c r="B299" s="69" t="s">
        <v>460</v>
      </c>
      <c r="C299" s="69" t="s">
        <v>461</v>
      </c>
      <c r="D299" s="70">
        <v>7.8339999999999996</v>
      </c>
      <c r="E299" s="71">
        <v>10.715999999999999</v>
      </c>
      <c r="F299" s="71">
        <v>7.4020000000000001</v>
      </c>
      <c r="G299" s="71">
        <v>3.98</v>
      </c>
      <c r="H299" s="71">
        <v>4.1630000000000003</v>
      </c>
      <c r="I299" s="71">
        <v>4.21</v>
      </c>
      <c r="J299" s="71">
        <v>4.2510000000000003</v>
      </c>
      <c r="K299" s="71">
        <v>3.9569999999999999</v>
      </c>
      <c r="L299" s="67"/>
    </row>
    <row r="300" spans="1:12" ht="15.75" thickBot="1">
      <c r="A300" s="68" t="s">
        <v>521</v>
      </c>
      <c r="B300" s="69" t="s">
        <v>462</v>
      </c>
      <c r="C300" s="69" t="s">
        <v>461</v>
      </c>
      <c r="D300" s="70">
        <v>0.77500000000000002</v>
      </c>
      <c r="E300" s="70">
        <v>9.3829999999999991</v>
      </c>
      <c r="F300" s="71">
        <v>4.62</v>
      </c>
      <c r="G300" s="71">
        <v>4.4749999999999996</v>
      </c>
      <c r="H300" s="71">
        <v>4.5949999999999998</v>
      </c>
      <c r="I300" s="71">
        <v>4.25</v>
      </c>
      <c r="J300" s="71">
        <v>4.3140000000000001</v>
      </c>
      <c r="K300" s="71">
        <v>4.2859999999999996</v>
      </c>
      <c r="L300" s="67"/>
    </row>
    <row r="301" spans="1:12" ht="15.75" thickBot="1">
      <c r="A301" s="68" t="s">
        <v>408</v>
      </c>
      <c r="B301" s="69" t="s">
        <v>460</v>
      </c>
      <c r="C301" s="69" t="s">
        <v>461</v>
      </c>
      <c r="D301" s="70">
        <v>2.89</v>
      </c>
      <c r="E301" s="71">
        <v>3.1230000000000002</v>
      </c>
      <c r="F301" s="71">
        <v>2.593</v>
      </c>
      <c r="G301" s="71">
        <v>3.0259999999999998</v>
      </c>
      <c r="H301" s="71">
        <v>3.8610000000000002</v>
      </c>
      <c r="I301" s="71">
        <v>4.149</v>
      </c>
      <c r="J301" s="71">
        <v>4.1449999999999996</v>
      </c>
      <c r="K301" s="71">
        <v>4.1449999999999996</v>
      </c>
      <c r="L301" s="67"/>
    </row>
    <row r="302" spans="1:12" ht="15.75" thickBot="1">
      <c r="A302" s="68" t="s">
        <v>408</v>
      </c>
      <c r="B302" s="69" t="s">
        <v>462</v>
      </c>
      <c r="C302" s="69" t="s">
        <v>461</v>
      </c>
      <c r="D302" s="71">
        <v>3.4860000000000002</v>
      </c>
      <c r="E302" s="71">
        <v>6.0869999999999997</v>
      </c>
      <c r="F302" s="71">
        <v>5.3</v>
      </c>
      <c r="G302" s="71">
        <v>5.25</v>
      </c>
      <c r="H302" s="71">
        <v>4.9000000000000004</v>
      </c>
      <c r="I302" s="71">
        <v>4.8</v>
      </c>
      <c r="J302" s="71">
        <v>4.7</v>
      </c>
      <c r="K302" s="71">
        <v>4.7</v>
      </c>
      <c r="L302" s="67"/>
    </row>
    <row r="303" spans="1:12" ht="15.75" thickBot="1">
      <c r="A303" s="68" t="s">
        <v>522</v>
      </c>
      <c r="B303" s="69" t="s">
        <v>460</v>
      </c>
      <c r="C303" s="69" t="s">
        <v>461</v>
      </c>
      <c r="D303" s="70" t="s">
        <v>523</v>
      </c>
      <c r="E303" s="70">
        <v>1.444</v>
      </c>
      <c r="F303" s="71">
        <v>-54.98</v>
      </c>
      <c r="G303" s="71">
        <v>69.622</v>
      </c>
      <c r="H303" s="71">
        <v>3.286</v>
      </c>
      <c r="I303" s="71">
        <v>0.67700000000000005</v>
      </c>
      <c r="J303" s="71">
        <v>6.5149999999999997</v>
      </c>
      <c r="K303" s="71">
        <v>6.0609999999999999</v>
      </c>
      <c r="L303" s="67"/>
    </row>
    <row r="304" spans="1:12" ht="15.75" thickBot="1">
      <c r="A304" s="68" t="s">
        <v>522</v>
      </c>
      <c r="B304" s="69" t="s">
        <v>462</v>
      </c>
      <c r="C304" s="69" t="s">
        <v>461</v>
      </c>
      <c r="D304" s="70" t="s">
        <v>523</v>
      </c>
      <c r="E304" s="70">
        <v>65.554000000000002</v>
      </c>
      <c r="F304" s="71">
        <v>60.433</v>
      </c>
      <c r="G304" s="71">
        <v>-5.8520000000000003</v>
      </c>
      <c r="H304" s="71">
        <v>5</v>
      </c>
      <c r="I304" s="71">
        <v>5</v>
      </c>
      <c r="J304" s="71">
        <v>5</v>
      </c>
      <c r="K304" s="71">
        <v>5</v>
      </c>
      <c r="L304" s="67"/>
    </row>
    <row r="305" spans="1:12" ht="15.75" thickBot="1">
      <c r="A305" s="68" t="s">
        <v>412</v>
      </c>
      <c r="B305" s="69" t="s">
        <v>460</v>
      </c>
      <c r="C305" s="69" t="s">
        <v>461</v>
      </c>
      <c r="D305" s="70">
        <v>-0.32200000000000001</v>
      </c>
      <c r="E305" s="70">
        <v>0.41699999999999998</v>
      </c>
      <c r="F305" s="71">
        <v>-1.538</v>
      </c>
      <c r="G305" s="71">
        <v>-1.3160000000000001</v>
      </c>
      <c r="H305" s="71">
        <v>1.004</v>
      </c>
      <c r="I305" s="71">
        <v>1.552</v>
      </c>
      <c r="J305" s="71">
        <v>1.696</v>
      </c>
      <c r="K305" s="71">
        <v>1.734</v>
      </c>
      <c r="L305" s="67"/>
    </row>
    <row r="306" spans="1:12" ht="15.75" thickBot="1">
      <c r="A306" s="68" t="s">
        <v>412</v>
      </c>
      <c r="B306" s="69" t="s">
        <v>462</v>
      </c>
      <c r="C306" s="69" t="s">
        <v>461</v>
      </c>
      <c r="D306" s="70">
        <v>2.8610000000000002</v>
      </c>
      <c r="E306" s="70">
        <v>2.3559999999999999</v>
      </c>
      <c r="F306" s="71">
        <v>3.2839999999999998</v>
      </c>
      <c r="G306" s="71">
        <v>1.3520000000000001</v>
      </c>
      <c r="H306" s="71">
        <v>1.446</v>
      </c>
      <c r="I306" s="71">
        <v>1.3779999999999999</v>
      </c>
      <c r="J306" s="71">
        <v>1.409</v>
      </c>
      <c r="K306" s="71">
        <v>1.4239999999999999</v>
      </c>
      <c r="L306" s="67"/>
    </row>
    <row r="307" spans="1:12" ht="15.75" thickBot="1">
      <c r="A307" s="68" t="s">
        <v>416</v>
      </c>
      <c r="B307" s="69" t="s">
        <v>460</v>
      </c>
      <c r="C307" s="69" t="s">
        <v>461</v>
      </c>
      <c r="D307" s="70">
        <v>7.7629999999999999</v>
      </c>
      <c r="E307" s="70">
        <v>8.2569999999999997</v>
      </c>
      <c r="F307" s="71">
        <v>6.75</v>
      </c>
      <c r="G307" s="71">
        <v>6.7</v>
      </c>
      <c r="H307" s="71">
        <v>6.5</v>
      </c>
      <c r="I307" s="71">
        <v>6.5</v>
      </c>
      <c r="J307" s="71">
        <v>6.5</v>
      </c>
      <c r="K307" s="71">
        <v>6.5</v>
      </c>
      <c r="L307" s="67"/>
    </row>
    <row r="308" spans="1:12" ht="15.75" thickBot="1">
      <c r="A308" s="68" t="s">
        <v>416</v>
      </c>
      <c r="B308" s="69" t="s">
        <v>462</v>
      </c>
      <c r="C308" s="69" t="s">
        <v>461</v>
      </c>
      <c r="D308" s="70">
        <v>6.8209999999999997</v>
      </c>
      <c r="E308" s="70">
        <v>4.891</v>
      </c>
      <c r="F308" s="71">
        <v>10.093999999999999</v>
      </c>
      <c r="G308" s="71">
        <v>7.1760000000000002</v>
      </c>
      <c r="H308" s="71">
        <v>6</v>
      </c>
      <c r="I308" s="71">
        <v>6</v>
      </c>
      <c r="J308" s="71">
        <v>6</v>
      </c>
      <c r="K308" s="71">
        <v>6</v>
      </c>
      <c r="L308" s="67"/>
    </row>
    <row r="309" spans="1:12" ht="15.75" thickBot="1">
      <c r="A309" s="68" t="s">
        <v>524</v>
      </c>
      <c r="B309" s="69" t="s">
        <v>460</v>
      </c>
      <c r="C309" s="69" t="s">
        <v>461</v>
      </c>
      <c r="D309" s="70">
        <v>-2.6909999999999998</v>
      </c>
      <c r="E309" s="70">
        <v>-2.0030000000000001</v>
      </c>
      <c r="F309" s="71">
        <v>8.9999999999999993E-3</v>
      </c>
      <c r="G309" s="71">
        <v>1.8440000000000001</v>
      </c>
      <c r="H309" s="71">
        <v>3.21</v>
      </c>
      <c r="I309" s="71">
        <v>3.8420000000000001</v>
      </c>
      <c r="J309" s="71">
        <v>4.1790000000000003</v>
      </c>
      <c r="K309" s="71">
        <v>4.1820000000000004</v>
      </c>
      <c r="L309" s="67"/>
    </row>
    <row r="310" spans="1:12" ht="15.75" thickBot="1">
      <c r="A310" s="68" t="s">
        <v>524</v>
      </c>
      <c r="B310" s="69" t="s">
        <v>462</v>
      </c>
      <c r="C310" s="69" t="s">
        <v>461</v>
      </c>
      <c r="D310" s="70">
        <v>5.1970000000000001</v>
      </c>
      <c r="E310" s="70">
        <v>2.8759999999999999</v>
      </c>
      <c r="F310" s="71">
        <v>1.8959999999999999</v>
      </c>
      <c r="G310" s="71">
        <v>2.5</v>
      </c>
      <c r="H310" s="71">
        <v>2.5</v>
      </c>
      <c r="I310" s="71">
        <v>2.5</v>
      </c>
      <c r="J310" s="71">
        <v>2.5</v>
      </c>
      <c r="K310" s="71">
        <v>2.5</v>
      </c>
      <c r="L310" s="67"/>
    </row>
    <row r="311" spans="1:12" ht="15.75" thickBot="1">
      <c r="A311" s="68" t="s">
        <v>525</v>
      </c>
      <c r="B311" s="69" t="s">
        <v>460</v>
      </c>
      <c r="C311" s="69" t="s">
        <v>461</v>
      </c>
      <c r="D311" s="70">
        <v>0.40200000000000002</v>
      </c>
      <c r="E311" s="70">
        <v>1.2769999999999999</v>
      </c>
      <c r="F311" s="71">
        <v>0.72299999999999998</v>
      </c>
      <c r="G311" s="71">
        <v>1.25</v>
      </c>
      <c r="H311" s="71">
        <v>1.7</v>
      </c>
      <c r="I311" s="71">
        <v>2.0499999999999998</v>
      </c>
      <c r="J311" s="71">
        <v>2.2999999999999998</v>
      </c>
      <c r="K311" s="71">
        <v>2.2999999999999998</v>
      </c>
      <c r="L311" s="67"/>
    </row>
    <row r="312" spans="1:12" ht="15.75" thickBot="1">
      <c r="A312" s="68" t="s">
        <v>525</v>
      </c>
      <c r="B312" s="69" t="s">
        <v>462</v>
      </c>
      <c r="C312" s="69" t="s">
        <v>461</v>
      </c>
      <c r="D312" s="70">
        <v>4.2169999999999996</v>
      </c>
      <c r="E312" s="70">
        <v>4.7839999999999998</v>
      </c>
      <c r="F312" s="71">
        <v>2.1669999999999998</v>
      </c>
      <c r="G312" s="71">
        <v>2.9470000000000001</v>
      </c>
      <c r="H312" s="71">
        <v>2.9239999999999999</v>
      </c>
      <c r="I312" s="71">
        <v>2.6539999999999999</v>
      </c>
      <c r="J312" s="71">
        <v>2.843</v>
      </c>
      <c r="K312" s="71">
        <v>3.157</v>
      </c>
      <c r="L312" s="67"/>
    </row>
    <row r="313" spans="1:12" ht="15.75" thickBot="1">
      <c r="A313" s="68" t="s">
        <v>526</v>
      </c>
      <c r="B313" s="69" t="s">
        <v>460</v>
      </c>
      <c r="C313" s="69" t="s">
        <v>461</v>
      </c>
      <c r="D313" s="70">
        <v>-1.835</v>
      </c>
      <c r="E313" s="70">
        <v>3.5999999999999997E-2</v>
      </c>
      <c r="F313" s="71">
        <v>1.2330000000000001</v>
      </c>
      <c r="G313" s="71">
        <v>1.5</v>
      </c>
      <c r="H313" s="71">
        <v>2.5</v>
      </c>
      <c r="I313" s="71">
        <v>3.5</v>
      </c>
      <c r="J313" s="71">
        <v>3.5</v>
      </c>
      <c r="K313" s="71">
        <v>3</v>
      </c>
      <c r="L313" s="67"/>
    </row>
    <row r="314" spans="1:12" ht="15.75" thickBot="1">
      <c r="A314" s="68" t="s">
        <v>526</v>
      </c>
      <c r="B314" s="69" t="s">
        <v>462</v>
      </c>
      <c r="C314" s="69" t="s">
        <v>461</v>
      </c>
      <c r="D314" s="70">
        <v>0.86</v>
      </c>
      <c r="E314" s="70">
        <v>4.7380000000000004</v>
      </c>
      <c r="F314" s="71">
        <v>0.84099999999999997</v>
      </c>
      <c r="G314" s="71">
        <v>2.5640000000000001</v>
      </c>
      <c r="H314" s="71">
        <v>2.5129999999999999</v>
      </c>
      <c r="I314" s="71">
        <v>2.5129999999999999</v>
      </c>
      <c r="J314" s="71">
        <v>2.5129999999999999</v>
      </c>
      <c r="K314" s="71">
        <v>2.5129999999999999</v>
      </c>
      <c r="L314" s="67"/>
    </row>
    <row r="315" spans="1:12" ht="15.75" thickBot="1">
      <c r="A315" s="68" t="s">
        <v>527</v>
      </c>
      <c r="B315" s="69" t="s">
        <v>460</v>
      </c>
      <c r="C315" s="69" t="s">
        <v>461</v>
      </c>
      <c r="D315" s="70">
        <v>2.1629999999999998</v>
      </c>
      <c r="E315" s="71">
        <v>-4.492</v>
      </c>
      <c r="F315" s="71">
        <v>-11.234999999999999</v>
      </c>
      <c r="G315" s="71">
        <v>-1.4999999999999999E-2</v>
      </c>
      <c r="H315" s="71">
        <v>2.8769999999999998</v>
      </c>
      <c r="I315" s="71">
        <v>4.1269999999999998</v>
      </c>
      <c r="J315" s="71">
        <v>4.1479999999999997</v>
      </c>
      <c r="K315" s="71">
        <v>4.984</v>
      </c>
      <c r="L315" s="67"/>
    </row>
    <row r="316" spans="1:12" ht="15.75" thickBot="1">
      <c r="A316" s="68" t="s">
        <v>527</v>
      </c>
      <c r="B316" s="69" t="s">
        <v>462</v>
      </c>
      <c r="C316" s="69" t="s">
        <v>461</v>
      </c>
      <c r="D316" s="70">
        <v>15.352</v>
      </c>
      <c r="E316" s="71">
        <v>18.884</v>
      </c>
      <c r="F316" s="71">
        <v>28.617999999999999</v>
      </c>
      <c r="G316" s="71">
        <v>16.957999999999998</v>
      </c>
      <c r="H316" s="71">
        <v>10.808999999999999</v>
      </c>
      <c r="I316" s="71">
        <v>10.087</v>
      </c>
      <c r="J316" s="71">
        <v>8.4179999999999993</v>
      </c>
      <c r="K316" s="71">
        <v>6.8259999999999996</v>
      </c>
      <c r="L316" s="67"/>
    </row>
    <row r="317" spans="1:12" ht="15.75" thickBot="1">
      <c r="A317" s="68" t="s">
        <v>419</v>
      </c>
      <c r="B317" s="69" t="s">
        <v>460</v>
      </c>
      <c r="C317" s="69" t="s">
        <v>461</v>
      </c>
      <c r="D317" s="70">
        <v>4.101</v>
      </c>
      <c r="E317" s="71">
        <v>4.1539999999999999</v>
      </c>
      <c r="F317" s="71">
        <v>3.9950000000000001</v>
      </c>
      <c r="G317" s="71">
        <v>4.4809999999999999</v>
      </c>
      <c r="H317" s="71">
        <v>4.4870000000000001</v>
      </c>
      <c r="I317" s="71">
        <v>5.008</v>
      </c>
      <c r="J317" s="71">
        <v>5.0199999999999996</v>
      </c>
      <c r="K317" s="71">
        <v>5.0430000000000001</v>
      </c>
      <c r="L317" s="67"/>
    </row>
    <row r="318" spans="1:12" ht="15.75" thickBot="1">
      <c r="A318" s="68" t="s">
        <v>419</v>
      </c>
      <c r="B318" s="69" t="s">
        <v>462</v>
      </c>
      <c r="C318" s="69" t="s">
        <v>461</v>
      </c>
      <c r="D318" s="70">
        <v>10.340999999999999</v>
      </c>
      <c r="E318" s="70">
        <v>15.295999999999999</v>
      </c>
      <c r="F318" s="71">
        <v>5.7430000000000003</v>
      </c>
      <c r="G318" s="71">
        <v>4.9530000000000003</v>
      </c>
      <c r="H318" s="71">
        <v>4.0190000000000001</v>
      </c>
      <c r="I318" s="71">
        <v>4.0190000000000001</v>
      </c>
      <c r="J318" s="71">
        <v>4.0190000000000001</v>
      </c>
      <c r="K318" s="71">
        <v>4.0190000000000001</v>
      </c>
      <c r="L318" s="67"/>
    </row>
    <row r="319" spans="1:12" ht="15.75" thickBot="1">
      <c r="A319" s="68" t="s">
        <v>528</v>
      </c>
      <c r="B319" s="69" t="s">
        <v>460</v>
      </c>
      <c r="C319" s="69" t="s">
        <v>461</v>
      </c>
      <c r="D319" s="71">
        <v>1.9830000000000001</v>
      </c>
      <c r="E319" s="71">
        <v>0.251</v>
      </c>
      <c r="F319" s="71">
        <v>-2.907</v>
      </c>
      <c r="G319" s="71">
        <v>-0.98099999999999998</v>
      </c>
      <c r="H319" s="71">
        <v>0.20499999999999999</v>
      </c>
      <c r="I319" s="71">
        <v>0.23599999999999999</v>
      </c>
      <c r="J319" s="71">
        <v>0.246</v>
      </c>
      <c r="K319" s="71">
        <v>0.23499999999999999</v>
      </c>
      <c r="L319" s="67"/>
    </row>
    <row r="320" spans="1:12" ht="15.75" thickBot="1">
      <c r="A320" s="68" t="s">
        <v>528</v>
      </c>
      <c r="B320" s="69" t="s">
        <v>462</v>
      </c>
      <c r="C320" s="69" t="s">
        <v>461</v>
      </c>
      <c r="D320" s="70">
        <v>4.5</v>
      </c>
      <c r="E320" s="70">
        <v>7.766</v>
      </c>
      <c r="F320" s="71">
        <v>3.08</v>
      </c>
      <c r="G320" s="71">
        <v>14.268000000000001</v>
      </c>
      <c r="H320" s="71">
        <v>2.4E-2</v>
      </c>
      <c r="I320" s="71">
        <v>9.6120000000000001</v>
      </c>
      <c r="J320" s="71">
        <v>1.7090000000000001</v>
      </c>
      <c r="K320" s="71">
        <v>4.7</v>
      </c>
      <c r="L320" s="67"/>
    </row>
    <row r="321" spans="1:12" ht="15.75" thickBot="1">
      <c r="A321" s="68" t="s">
        <v>420</v>
      </c>
      <c r="B321" s="69" t="s">
        <v>460</v>
      </c>
      <c r="C321" s="69" t="s">
        <v>461</v>
      </c>
      <c r="D321" s="70">
        <v>5.8760000000000003</v>
      </c>
      <c r="E321" s="70">
        <v>3.968</v>
      </c>
      <c r="F321" s="71">
        <v>1.2450000000000001</v>
      </c>
      <c r="G321" s="71">
        <v>2.218</v>
      </c>
      <c r="H321" s="71">
        <v>2.5299999999999998</v>
      </c>
      <c r="I321" s="71">
        <v>2.5499999999999998</v>
      </c>
      <c r="J321" s="71">
        <v>2.4</v>
      </c>
      <c r="K321" s="71">
        <v>2.4</v>
      </c>
      <c r="L321" s="67"/>
    </row>
    <row r="322" spans="1:12" ht="15.75" thickBot="1">
      <c r="A322" s="68" t="s">
        <v>420</v>
      </c>
      <c r="B322" s="69" t="s">
        <v>462</v>
      </c>
      <c r="C322" s="69" t="s">
        <v>461</v>
      </c>
      <c r="D322" s="70">
        <v>2.101</v>
      </c>
      <c r="E322" s="70">
        <v>0.44500000000000001</v>
      </c>
      <c r="F322" s="71">
        <v>0.877</v>
      </c>
      <c r="G322" s="71">
        <v>2</v>
      </c>
      <c r="H322" s="71">
        <v>2</v>
      </c>
      <c r="I322" s="71">
        <v>2</v>
      </c>
      <c r="J322" s="71">
        <v>2</v>
      </c>
      <c r="K322" s="71">
        <v>2</v>
      </c>
      <c r="L322" s="67"/>
    </row>
    <row r="323" spans="1:12" ht="15.75" thickBot="1">
      <c r="A323" s="68" t="s">
        <v>421</v>
      </c>
      <c r="B323" s="69" t="s">
        <v>460</v>
      </c>
      <c r="C323" s="69" t="s">
        <v>461</v>
      </c>
      <c r="D323" s="70">
        <v>3.0339999999999998</v>
      </c>
      <c r="E323" s="70">
        <v>1.927</v>
      </c>
      <c r="F323" s="71">
        <v>0.84699999999999998</v>
      </c>
      <c r="G323" s="71">
        <v>1.3520000000000001</v>
      </c>
      <c r="H323" s="71">
        <v>1.84</v>
      </c>
      <c r="I323" s="71">
        <v>1.89</v>
      </c>
      <c r="J323" s="71">
        <v>1.89</v>
      </c>
      <c r="K323" s="71">
        <v>1.94</v>
      </c>
      <c r="L323" s="67"/>
    </row>
    <row r="324" spans="1:12" ht="15.75" thickBot="1">
      <c r="A324" s="68" t="s">
        <v>421</v>
      </c>
      <c r="B324" s="69" t="s">
        <v>462</v>
      </c>
      <c r="C324" s="69" t="s">
        <v>461</v>
      </c>
      <c r="D324" s="70">
        <v>0.52</v>
      </c>
      <c r="E324" s="70">
        <v>-0.71499999999999997</v>
      </c>
      <c r="F324" s="71">
        <v>-0.5</v>
      </c>
      <c r="G324" s="71">
        <v>0.5</v>
      </c>
      <c r="H324" s="71">
        <v>1</v>
      </c>
      <c r="I324" s="71">
        <v>1</v>
      </c>
      <c r="J324" s="71">
        <v>1</v>
      </c>
      <c r="K324" s="71">
        <v>1</v>
      </c>
      <c r="L324" s="67"/>
    </row>
    <row r="325" spans="1:12" ht="15.75" thickBot="1">
      <c r="A325" s="68" t="s">
        <v>529</v>
      </c>
      <c r="B325" s="69" t="s">
        <v>460</v>
      </c>
      <c r="C325" s="69" t="s">
        <v>461</v>
      </c>
      <c r="D325" s="70">
        <v>3.44</v>
      </c>
      <c r="E325" s="71" t="s">
        <v>523</v>
      </c>
      <c r="F325" s="71" t="s">
        <v>523</v>
      </c>
      <c r="G325" s="71" t="s">
        <v>523</v>
      </c>
      <c r="H325" s="71" t="s">
        <v>523</v>
      </c>
      <c r="I325" s="71" t="s">
        <v>523</v>
      </c>
      <c r="J325" s="71" t="s">
        <v>523</v>
      </c>
      <c r="K325" s="71" t="s">
        <v>523</v>
      </c>
      <c r="L325" s="67"/>
    </row>
    <row r="326" spans="1:12" ht="15.75" thickBot="1">
      <c r="A326" s="68" t="s">
        <v>529</v>
      </c>
      <c r="B326" s="69" t="s">
        <v>462</v>
      </c>
      <c r="C326" s="69" t="s">
        <v>461</v>
      </c>
      <c r="D326" s="70">
        <v>6.3209999999999997</v>
      </c>
      <c r="E326" s="70" t="s">
        <v>523</v>
      </c>
      <c r="F326" s="71" t="s">
        <v>523</v>
      </c>
      <c r="G326" s="71" t="s">
        <v>523</v>
      </c>
      <c r="H326" s="71" t="s">
        <v>523</v>
      </c>
      <c r="I326" s="71" t="s">
        <v>523</v>
      </c>
      <c r="J326" s="71" t="s">
        <v>523</v>
      </c>
      <c r="K326" s="71" t="s">
        <v>523</v>
      </c>
      <c r="L326" s="67"/>
    </row>
    <row r="327" spans="1:12" ht="15.75" thickBot="1">
      <c r="A327" s="68" t="s">
        <v>530</v>
      </c>
      <c r="B327" s="69" t="s">
        <v>460</v>
      </c>
      <c r="C327" s="69" t="s">
        <v>461</v>
      </c>
      <c r="D327" s="70">
        <v>10.723000000000001</v>
      </c>
      <c r="E327" s="70">
        <v>4.0259999999999998</v>
      </c>
      <c r="F327" s="71">
        <v>1.3129999999999999</v>
      </c>
      <c r="G327" s="71">
        <v>3.8650000000000002</v>
      </c>
      <c r="H327" s="71">
        <v>4.4740000000000002</v>
      </c>
      <c r="I327" s="71">
        <v>4.702</v>
      </c>
      <c r="J327" s="71">
        <v>4.7930000000000001</v>
      </c>
      <c r="K327" s="71">
        <v>4.9619999999999997</v>
      </c>
      <c r="L327" s="67"/>
    </row>
    <row r="328" spans="1:12" ht="15.75" thickBot="1">
      <c r="A328" s="68" t="s">
        <v>530</v>
      </c>
      <c r="B328" s="69" t="s">
        <v>462</v>
      </c>
      <c r="C328" s="69" t="s">
        <v>461</v>
      </c>
      <c r="D328" s="70">
        <v>7.5960000000000001</v>
      </c>
      <c r="E328" s="70">
        <v>-3.4289999999999998</v>
      </c>
      <c r="F328" s="71">
        <v>2.5</v>
      </c>
      <c r="G328" s="71">
        <v>2</v>
      </c>
      <c r="H328" s="71">
        <v>2</v>
      </c>
      <c r="I328" s="71">
        <v>2</v>
      </c>
      <c r="J328" s="71">
        <v>2</v>
      </c>
      <c r="K328" s="71">
        <v>2</v>
      </c>
      <c r="L328" s="67"/>
    </row>
    <row r="329" spans="1:12" ht="15.75" thickBot="1">
      <c r="A329" s="68" t="s">
        <v>531</v>
      </c>
      <c r="B329" s="69" t="s">
        <v>460</v>
      </c>
      <c r="C329" s="69" t="s">
        <v>461</v>
      </c>
      <c r="D329" s="70">
        <v>6.5</v>
      </c>
      <c r="E329" s="70">
        <v>7.4</v>
      </c>
      <c r="F329" s="71">
        <v>6.8</v>
      </c>
      <c r="G329" s="71">
        <v>6</v>
      </c>
      <c r="H329" s="71">
        <v>6</v>
      </c>
      <c r="I329" s="71">
        <v>6</v>
      </c>
      <c r="J329" s="71">
        <v>6</v>
      </c>
      <c r="K329" s="71">
        <v>6</v>
      </c>
      <c r="L329" s="67"/>
    </row>
    <row r="330" spans="1:12" ht="15.75" thickBot="1">
      <c r="A330" s="68" t="s">
        <v>531</v>
      </c>
      <c r="B330" s="69" t="s">
        <v>462</v>
      </c>
      <c r="C330" s="69" t="s">
        <v>461</v>
      </c>
      <c r="D330" s="70">
        <v>9.8040000000000003</v>
      </c>
      <c r="E330" s="70">
        <v>9.3149999999999995</v>
      </c>
      <c r="F330" s="71">
        <v>6.4509999999999996</v>
      </c>
      <c r="G330" s="71">
        <v>7.9790000000000001</v>
      </c>
      <c r="H330" s="71">
        <v>6.9530000000000003</v>
      </c>
      <c r="I330" s="71">
        <v>6.9530000000000003</v>
      </c>
      <c r="J330" s="71">
        <v>6.9530000000000003</v>
      </c>
      <c r="K330" s="71">
        <v>6.9530000000000003</v>
      </c>
      <c r="L330" s="67"/>
    </row>
    <row r="331" spans="1:12" ht="15.75" thickBot="1">
      <c r="A331" s="68" t="s">
        <v>532</v>
      </c>
      <c r="B331" s="69" t="s">
        <v>460</v>
      </c>
      <c r="C331" s="69" t="s">
        <v>461</v>
      </c>
      <c r="D331" s="70">
        <v>7.0430000000000001</v>
      </c>
      <c r="E331" s="71">
        <v>6.4489999999999998</v>
      </c>
      <c r="F331" s="71">
        <v>6.5060000000000002</v>
      </c>
      <c r="G331" s="71">
        <v>6.8120000000000003</v>
      </c>
      <c r="H331" s="71">
        <v>7.0990000000000002</v>
      </c>
      <c r="I331" s="71">
        <v>7.11</v>
      </c>
      <c r="J331" s="71">
        <v>7.0469999999999997</v>
      </c>
      <c r="K331" s="71">
        <v>6.9950000000000001</v>
      </c>
      <c r="L331" s="67"/>
    </row>
    <row r="332" spans="1:12" ht="15.75" thickBot="1">
      <c r="A332" s="68" t="s">
        <v>532</v>
      </c>
      <c r="B332" s="69" t="s">
        <v>462</v>
      </c>
      <c r="C332" s="69" t="s">
        <v>461</v>
      </c>
      <c r="D332" s="70">
        <v>5.5529999999999999</v>
      </c>
      <c r="E332" s="71">
        <v>19.754000000000001</v>
      </c>
      <c r="F332" s="71">
        <v>11.065</v>
      </c>
      <c r="G332" s="71">
        <v>9.5730000000000004</v>
      </c>
      <c r="H332" s="71">
        <v>6.6109999999999998</v>
      </c>
      <c r="I332" s="71">
        <v>6.7560000000000002</v>
      </c>
      <c r="J332" s="71">
        <v>6.3559999999999999</v>
      </c>
      <c r="K332" s="71">
        <v>6.3559999999999999</v>
      </c>
      <c r="L332" s="67"/>
    </row>
    <row r="333" spans="1:12" ht="15.75" thickBot="1">
      <c r="A333" s="68" t="s">
        <v>426</v>
      </c>
      <c r="B333" s="69" t="s">
        <v>460</v>
      </c>
      <c r="C333" s="69" t="s">
        <v>461</v>
      </c>
      <c r="D333" s="70">
        <v>7.7770000000000001</v>
      </c>
      <c r="E333" s="70">
        <v>5.2999999999999999E-2</v>
      </c>
      <c r="F333" s="71">
        <v>5.5709999999999997</v>
      </c>
      <c r="G333" s="71">
        <v>5.9859999999999998</v>
      </c>
      <c r="H333" s="71">
        <v>4.5</v>
      </c>
      <c r="I333" s="71">
        <v>4.5999999999999996</v>
      </c>
      <c r="J333" s="71">
        <v>4.8</v>
      </c>
      <c r="K333" s="71">
        <v>5</v>
      </c>
      <c r="L333" s="67"/>
    </row>
    <row r="334" spans="1:12" ht="15.75" thickBot="1">
      <c r="A334" s="68" t="s">
        <v>426</v>
      </c>
      <c r="B334" s="69" t="s">
        <v>462</v>
      </c>
      <c r="C334" s="69" t="s">
        <v>461</v>
      </c>
      <c r="D334" s="70">
        <v>3.0459999999999998</v>
      </c>
      <c r="E334" s="70">
        <v>3.5350000000000001</v>
      </c>
      <c r="F334" s="71">
        <v>4.7080000000000002</v>
      </c>
      <c r="G334" s="71">
        <v>1.897</v>
      </c>
      <c r="H334" s="71">
        <v>3.3359999999999999</v>
      </c>
      <c r="I334" s="71">
        <v>1.3919999999999999</v>
      </c>
      <c r="J334" s="71">
        <v>3.7109999999999999</v>
      </c>
      <c r="K334" s="71">
        <v>1.7709999999999999</v>
      </c>
      <c r="L334" s="67"/>
    </row>
    <row r="335" spans="1:12" ht="15.75" thickBot="1">
      <c r="A335" s="68" t="s">
        <v>533</v>
      </c>
      <c r="B335" s="69" t="s">
        <v>460</v>
      </c>
      <c r="C335" s="69" t="s">
        <v>461</v>
      </c>
      <c r="D335" s="70">
        <v>9.4689999999999994</v>
      </c>
      <c r="E335" s="71">
        <v>10.596</v>
      </c>
      <c r="F335" s="71">
        <v>10</v>
      </c>
      <c r="G335" s="71">
        <v>10</v>
      </c>
      <c r="H335" s="71">
        <v>10</v>
      </c>
      <c r="I335" s="71">
        <v>10</v>
      </c>
      <c r="J335" s="71">
        <v>10</v>
      </c>
      <c r="K335" s="71">
        <v>9</v>
      </c>
      <c r="L335" s="67"/>
    </row>
    <row r="336" spans="1:12" ht="15.75" thickBot="1">
      <c r="A336" s="68" t="s">
        <v>533</v>
      </c>
      <c r="B336" s="69" t="s">
        <v>462</v>
      </c>
      <c r="C336" s="69" t="s">
        <v>461</v>
      </c>
      <c r="D336" s="70">
        <v>9.2040000000000006</v>
      </c>
      <c r="E336" s="70">
        <v>17.373000000000001</v>
      </c>
      <c r="F336" s="71">
        <v>8.9589999999999996</v>
      </c>
      <c r="G336" s="71">
        <v>8</v>
      </c>
      <c r="H336" s="71">
        <v>8</v>
      </c>
      <c r="I336" s="71">
        <v>8</v>
      </c>
      <c r="J336" s="71">
        <v>8</v>
      </c>
      <c r="K336" s="71">
        <v>8</v>
      </c>
      <c r="L336" s="67"/>
    </row>
    <row r="337" spans="1:12" ht="15.75" thickBot="1">
      <c r="A337" s="68" t="s">
        <v>534</v>
      </c>
      <c r="B337" s="69" t="s">
        <v>460</v>
      </c>
      <c r="C337" s="69" t="s">
        <v>461</v>
      </c>
      <c r="D337" s="71">
        <v>3.996</v>
      </c>
      <c r="E337" s="71">
        <v>4.8650000000000002</v>
      </c>
      <c r="F337" s="71">
        <v>5.0250000000000004</v>
      </c>
      <c r="G337" s="71">
        <v>5.2569999999999997</v>
      </c>
      <c r="H337" s="71">
        <v>5.4770000000000003</v>
      </c>
      <c r="I337" s="71">
        <v>5.5750000000000002</v>
      </c>
      <c r="J337" s="71">
        <v>4.9109999999999996</v>
      </c>
      <c r="K337" s="71">
        <v>5.7539999999999996</v>
      </c>
      <c r="L337" s="67"/>
    </row>
    <row r="338" spans="1:12" ht="15.75" thickBot="1">
      <c r="A338" s="68" t="s">
        <v>534</v>
      </c>
      <c r="B338" s="69" t="s">
        <v>462</v>
      </c>
      <c r="C338" s="69" t="s">
        <v>461</v>
      </c>
      <c r="D338" s="71">
        <v>6.95</v>
      </c>
      <c r="E338" s="71">
        <v>1.4650000000000001</v>
      </c>
      <c r="F338" s="71">
        <v>1</v>
      </c>
      <c r="G338" s="71">
        <v>12.025</v>
      </c>
      <c r="H338" s="71">
        <v>-6.5</v>
      </c>
      <c r="I338" s="71">
        <v>12.893000000000001</v>
      </c>
      <c r="J338" s="71">
        <v>-3.0779999999999998</v>
      </c>
      <c r="K338" s="71">
        <v>11.145</v>
      </c>
      <c r="L338" s="67"/>
    </row>
    <row r="339" spans="1:12" ht="15.75" thickBot="1">
      <c r="A339" s="68" t="s">
        <v>535</v>
      </c>
      <c r="B339" s="69" t="s">
        <v>460</v>
      </c>
      <c r="C339" s="69" t="s">
        <v>461</v>
      </c>
      <c r="D339" s="70">
        <v>1.6259999999999999</v>
      </c>
      <c r="E339" s="71">
        <v>1.468</v>
      </c>
      <c r="F339" s="71">
        <v>1.3839999999999999</v>
      </c>
      <c r="G339" s="71">
        <v>1.4830000000000001</v>
      </c>
      <c r="H339" s="71">
        <v>1.778</v>
      </c>
      <c r="I339" s="71">
        <v>1.794</v>
      </c>
      <c r="J339" s="71">
        <v>1.8029999999999999</v>
      </c>
      <c r="K339" s="71">
        <v>1.8109999999999999</v>
      </c>
      <c r="L339" s="67"/>
    </row>
    <row r="340" spans="1:12" ht="15.75" thickBot="1">
      <c r="A340" s="68" t="s">
        <v>535</v>
      </c>
      <c r="B340" s="69" t="s">
        <v>462</v>
      </c>
      <c r="C340" s="69" t="s">
        <v>461</v>
      </c>
      <c r="D340" s="71">
        <v>5.3289999999999997</v>
      </c>
      <c r="E340" s="71">
        <v>5.3739999999999997</v>
      </c>
      <c r="F340" s="71">
        <v>4.5220000000000002</v>
      </c>
      <c r="G340" s="71">
        <v>6</v>
      </c>
      <c r="H340" s="71">
        <v>6</v>
      </c>
      <c r="I340" s="71">
        <v>6</v>
      </c>
      <c r="J340" s="71">
        <v>6</v>
      </c>
      <c r="K340" s="71">
        <v>6</v>
      </c>
      <c r="L340" s="67"/>
    </row>
    <row r="341" spans="1:12" ht="15.75" thickBot="1">
      <c r="A341" s="68" t="s">
        <v>429</v>
      </c>
      <c r="B341" s="69" t="s">
        <v>460</v>
      </c>
      <c r="C341" s="69" t="s">
        <v>461</v>
      </c>
      <c r="D341" s="70">
        <v>-2.4E-2</v>
      </c>
      <c r="E341" s="71">
        <v>-1.478</v>
      </c>
      <c r="F341" s="71">
        <v>0.73899999999999999</v>
      </c>
      <c r="G341" s="71">
        <v>2.2080000000000002</v>
      </c>
      <c r="H341" s="71">
        <v>2.8340000000000001</v>
      </c>
      <c r="I341" s="71">
        <v>2.927</v>
      </c>
      <c r="J341" s="71">
        <v>2.9380000000000002</v>
      </c>
      <c r="K341" s="71">
        <v>2.9689999999999999</v>
      </c>
      <c r="L341" s="67"/>
    </row>
    <row r="342" spans="1:12" ht="15.75" thickBot="1">
      <c r="A342" s="68" t="s">
        <v>429</v>
      </c>
      <c r="B342" s="69" t="s">
        <v>462</v>
      </c>
      <c r="C342" s="69" t="s">
        <v>461</v>
      </c>
      <c r="D342" s="70">
        <v>13.404999999999999</v>
      </c>
      <c r="E342" s="70">
        <v>5.2720000000000002</v>
      </c>
      <c r="F342" s="71">
        <v>9</v>
      </c>
      <c r="G342" s="71">
        <v>4</v>
      </c>
      <c r="H342" s="71">
        <v>4</v>
      </c>
      <c r="I342" s="71">
        <v>4</v>
      </c>
      <c r="J342" s="71">
        <v>4</v>
      </c>
      <c r="K342" s="71">
        <v>4</v>
      </c>
      <c r="L342" s="67"/>
    </row>
    <row r="343" spans="1:12" ht="15.75" thickBot="1">
      <c r="A343" s="68" t="s">
        <v>430</v>
      </c>
      <c r="B343" s="69" t="s">
        <v>460</v>
      </c>
      <c r="C343" s="69" t="s">
        <v>461</v>
      </c>
      <c r="D343" s="70">
        <v>3.1150000000000002</v>
      </c>
      <c r="E343" s="70">
        <v>-1.8</v>
      </c>
      <c r="F343" s="71">
        <v>2.7010000000000001</v>
      </c>
      <c r="G343" s="71">
        <v>3.3109999999999999</v>
      </c>
      <c r="H343" s="71">
        <v>4.0640000000000001</v>
      </c>
      <c r="I343" s="71">
        <v>5.3049999999999997</v>
      </c>
      <c r="J343" s="71">
        <v>5.5030000000000001</v>
      </c>
      <c r="K343" s="71">
        <v>6.0060000000000002</v>
      </c>
      <c r="L343" s="67"/>
    </row>
    <row r="344" spans="1:12" ht="15.75" thickBot="1">
      <c r="A344" s="68" t="s">
        <v>430</v>
      </c>
      <c r="B344" s="69" t="s">
        <v>462</v>
      </c>
      <c r="C344" s="69" t="s">
        <v>461</v>
      </c>
      <c r="D344" s="70">
        <v>4.1470000000000002</v>
      </c>
      <c r="E344" s="70">
        <v>3.5</v>
      </c>
      <c r="F344" s="71">
        <v>5</v>
      </c>
      <c r="G344" s="71">
        <v>4</v>
      </c>
      <c r="H344" s="71">
        <v>3.5</v>
      </c>
      <c r="I344" s="71">
        <v>3.5</v>
      </c>
      <c r="J344" s="71">
        <v>3.5</v>
      </c>
      <c r="K344" s="71">
        <v>3.5</v>
      </c>
      <c r="L344" s="67"/>
    </row>
    <row r="345" spans="1:12" ht="15.75" thickBot="1">
      <c r="A345" s="68" t="s">
        <v>434</v>
      </c>
      <c r="B345" s="69" t="s">
        <v>460</v>
      </c>
      <c r="C345" s="69" t="s">
        <v>461</v>
      </c>
      <c r="D345" s="70">
        <v>9.157</v>
      </c>
      <c r="E345" s="71">
        <v>8.5030000000000001</v>
      </c>
      <c r="F345" s="71">
        <v>2.9689999999999999</v>
      </c>
      <c r="G345" s="71">
        <v>3.528</v>
      </c>
      <c r="H345" s="71">
        <v>4.0019999999999998</v>
      </c>
      <c r="I345" s="71">
        <v>4.2590000000000003</v>
      </c>
      <c r="J345" s="71">
        <v>4.4139999999999997</v>
      </c>
      <c r="K345" s="71">
        <v>4.4470000000000001</v>
      </c>
      <c r="L345" s="67"/>
    </row>
    <row r="346" spans="1:12" ht="15.75" thickBot="1">
      <c r="A346" s="68" t="s">
        <v>434</v>
      </c>
      <c r="B346" s="69" t="s">
        <v>462</v>
      </c>
      <c r="C346" s="69" t="s">
        <v>461</v>
      </c>
      <c r="D346" s="70">
        <v>6.4009999999999998</v>
      </c>
      <c r="E346" s="70">
        <v>10.448</v>
      </c>
      <c r="F346" s="71">
        <v>6.4980000000000002</v>
      </c>
      <c r="G346" s="71">
        <v>5.74</v>
      </c>
      <c r="H346" s="71">
        <v>5.0010000000000003</v>
      </c>
      <c r="I346" s="71">
        <v>5</v>
      </c>
      <c r="J346" s="71">
        <v>5</v>
      </c>
      <c r="K346" s="71">
        <v>5</v>
      </c>
      <c r="L346" s="67"/>
    </row>
    <row r="347" spans="1:12" ht="15.75" thickBot="1">
      <c r="A347" s="68" t="s">
        <v>536</v>
      </c>
      <c r="B347" s="69" t="s">
        <v>460</v>
      </c>
      <c r="C347" s="69" t="s">
        <v>461</v>
      </c>
      <c r="D347" s="70">
        <v>9.16</v>
      </c>
      <c r="E347" s="70">
        <v>14.651999999999999</v>
      </c>
      <c r="F347" s="71">
        <v>7.968</v>
      </c>
      <c r="G347" s="71">
        <v>7.694</v>
      </c>
      <c r="H347" s="71">
        <v>8</v>
      </c>
      <c r="I347" s="71">
        <v>7.5250000000000004</v>
      </c>
      <c r="J347" s="71">
        <v>8.0429999999999993</v>
      </c>
      <c r="K347" s="71">
        <v>7.9779999999999998</v>
      </c>
      <c r="L347" s="67"/>
    </row>
    <row r="348" spans="1:12" ht="15.75" thickBot="1">
      <c r="A348" s="68" t="s">
        <v>536</v>
      </c>
      <c r="B348" s="69" t="s">
        <v>462</v>
      </c>
      <c r="C348" s="69" t="s">
        <v>461</v>
      </c>
      <c r="D348" s="70">
        <v>4.8040000000000003</v>
      </c>
      <c r="E348" s="70">
        <v>5.5679999999999996</v>
      </c>
      <c r="F348" s="71">
        <v>5.0410000000000004</v>
      </c>
      <c r="G348" s="71">
        <v>7</v>
      </c>
      <c r="H348" s="71">
        <v>7</v>
      </c>
      <c r="I348" s="71">
        <v>7</v>
      </c>
      <c r="J348" s="71">
        <v>7</v>
      </c>
      <c r="K348" s="71">
        <v>7</v>
      </c>
      <c r="L348" s="67"/>
    </row>
    <row r="349" spans="1:12" ht="15.75" thickBot="1">
      <c r="A349" s="68" t="s">
        <v>537</v>
      </c>
      <c r="B349" s="69" t="s">
        <v>460</v>
      </c>
      <c r="C349" s="69" t="s">
        <v>461</v>
      </c>
      <c r="D349" s="70">
        <v>-2.923</v>
      </c>
      <c r="E349" s="70">
        <v>1.1140000000000001</v>
      </c>
      <c r="F349" s="71">
        <v>1.214</v>
      </c>
      <c r="G349" s="71">
        <v>1.278</v>
      </c>
      <c r="H349" s="71">
        <v>1.216</v>
      </c>
      <c r="I349" s="71">
        <v>1.1539999999999999</v>
      </c>
      <c r="J349" s="71">
        <v>1.1950000000000001</v>
      </c>
      <c r="K349" s="71">
        <v>1</v>
      </c>
      <c r="L349" s="67"/>
    </row>
    <row r="350" spans="1:12" ht="15.75" thickBot="1">
      <c r="A350" s="68" t="s">
        <v>537</v>
      </c>
      <c r="B350" s="69" t="s">
        <v>462</v>
      </c>
      <c r="C350" s="69" t="s">
        <v>461</v>
      </c>
      <c r="D350" s="70"/>
      <c r="E350" s="70"/>
      <c r="F350" s="70"/>
      <c r="G350" s="70"/>
      <c r="H350" s="70"/>
      <c r="I350" s="70"/>
      <c r="J350" s="70"/>
      <c r="K350" s="70"/>
      <c r="L350" s="67"/>
    </row>
    <row r="351" spans="1:12" ht="15.75" thickBot="1">
      <c r="A351" s="68" t="s">
        <v>538</v>
      </c>
      <c r="B351" s="69" t="s">
        <v>460</v>
      </c>
      <c r="C351" s="69" t="s">
        <v>461</v>
      </c>
      <c r="D351" s="70">
        <v>6.0739999999999998</v>
      </c>
      <c r="E351" s="71">
        <v>5.0999999999999996</v>
      </c>
      <c r="F351" s="71">
        <v>4.1900000000000004</v>
      </c>
      <c r="G351" s="71">
        <v>5.7409999999999997</v>
      </c>
      <c r="H351" s="71">
        <v>6.5279999999999996</v>
      </c>
      <c r="I351" s="71">
        <v>7</v>
      </c>
      <c r="J351" s="71">
        <v>7</v>
      </c>
      <c r="K351" s="71">
        <v>7</v>
      </c>
      <c r="L351" s="67"/>
    </row>
    <row r="352" spans="1:12" ht="15.75" thickBot="1">
      <c r="A352" s="68" t="s">
        <v>538</v>
      </c>
      <c r="B352" s="69" t="s">
        <v>462</v>
      </c>
      <c r="C352" s="69" t="s">
        <v>461</v>
      </c>
      <c r="D352" s="70">
        <v>3.0859999999999999</v>
      </c>
      <c r="E352" s="71">
        <v>27.021000000000001</v>
      </c>
      <c r="F352" s="71">
        <v>7.1</v>
      </c>
      <c r="G352" s="71">
        <v>5</v>
      </c>
      <c r="H352" s="71">
        <v>5</v>
      </c>
      <c r="I352" s="71">
        <v>5</v>
      </c>
      <c r="J352" s="71">
        <v>5</v>
      </c>
      <c r="K352" s="71">
        <v>5</v>
      </c>
      <c r="L352" s="67"/>
    </row>
    <row r="353" spans="1:12" ht="15.75" thickBot="1">
      <c r="A353" s="68" t="s">
        <v>438</v>
      </c>
      <c r="B353" s="69" t="s">
        <v>460</v>
      </c>
      <c r="C353" s="69" t="s">
        <v>461</v>
      </c>
      <c r="D353" s="70">
        <v>4.0999999999999996</v>
      </c>
      <c r="E353" s="70">
        <v>5.1520000000000001</v>
      </c>
      <c r="F353" s="71">
        <v>3</v>
      </c>
      <c r="G353" s="71">
        <v>3.516</v>
      </c>
      <c r="H353" s="71">
        <v>3.5369999999999999</v>
      </c>
      <c r="I353" s="71">
        <v>3.5</v>
      </c>
      <c r="J353" s="71">
        <v>3.5</v>
      </c>
      <c r="K353" s="71">
        <v>3.5009999999999999</v>
      </c>
      <c r="L353" s="67"/>
    </row>
    <row r="354" spans="1:12" ht="15.75" thickBot="1">
      <c r="A354" s="68" t="s">
        <v>438</v>
      </c>
      <c r="B354" s="69" t="s">
        <v>462</v>
      </c>
      <c r="C354" s="69" t="s">
        <v>461</v>
      </c>
      <c r="D354" s="70">
        <v>9.0960000000000001</v>
      </c>
      <c r="E354" s="70">
        <v>4.5599999999999996</v>
      </c>
      <c r="F354" s="71">
        <v>6.0439999999999996</v>
      </c>
      <c r="G354" s="71">
        <v>5.8789999999999996</v>
      </c>
      <c r="H354" s="71">
        <v>5.0369999999999999</v>
      </c>
      <c r="I354" s="71">
        <v>5.0369999999999999</v>
      </c>
      <c r="J354" s="71">
        <v>5.0369999999999999</v>
      </c>
      <c r="K354" s="71">
        <v>5.0369999999999999</v>
      </c>
      <c r="L354" s="67"/>
    </row>
    <row r="355" spans="1:12" ht="15.75" thickBot="1">
      <c r="A355" s="68" t="s">
        <v>441</v>
      </c>
      <c r="B355" s="69" t="s">
        <v>460</v>
      </c>
      <c r="C355" s="69" t="s">
        <v>461</v>
      </c>
      <c r="D355" s="70">
        <v>1.3</v>
      </c>
      <c r="E355" s="70">
        <v>5.1909999999999998</v>
      </c>
      <c r="F355" s="71">
        <v>4.0350000000000001</v>
      </c>
      <c r="G355" s="71">
        <v>2.5499999999999998</v>
      </c>
      <c r="H355" s="71">
        <v>3.0990000000000002</v>
      </c>
      <c r="I355" s="71">
        <v>3.3</v>
      </c>
      <c r="J355" s="71">
        <v>3.5489999999999999</v>
      </c>
      <c r="K355" s="71">
        <v>3.5590000000000002</v>
      </c>
      <c r="L355" s="67"/>
    </row>
    <row r="356" spans="1:12" ht="15.75" thickBot="1">
      <c r="A356" s="68" t="s">
        <v>441</v>
      </c>
      <c r="B356" s="69" t="s">
        <v>462</v>
      </c>
      <c r="C356" s="69" t="s">
        <v>461</v>
      </c>
      <c r="D356" s="70">
        <v>0.88</v>
      </c>
      <c r="E356" s="70">
        <v>0.79300000000000004</v>
      </c>
      <c r="F356" s="71">
        <v>1.135</v>
      </c>
      <c r="G356" s="71">
        <v>1.726</v>
      </c>
      <c r="H356" s="71">
        <v>1.9590000000000001</v>
      </c>
      <c r="I356" s="71">
        <v>2.0289999999999999</v>
      </c>
      <c r="J356" s="71">
        <v>2.028</v>
      </c>
      <c r="K356" s="71">
        <v>2.0579999999999998</v>
      </c>
      <c r="L356" s="67"/>
    </row>
    <row r="357" spans="1:12" ht="15.75" thickBot="1">
      <c r="A357" s="68" t="s">
        <v>442</v>
      </c>
      <c r="B357" s="69" t="s">
        <v>460</v>
      </c>
      <c r="C357" s="69" t="s">
        <v>461</v>
      </c>
      <c r="D357" s="70">
        <v>1.7989999999999999</v>
      </c>
      <c r="E357" s="70">
        <v>0.75800000000000001</v>
      </c>
      <c r="F357" s="71">
        <v>-0.38</v>
      </c>
      <c r="G357" s="71">
        <v>1.115</v>
      </c>
      <c r="H357" s="71">
        <v>2.1829999999999998</v>
      </c>
      <c r="I357" s="71">
        <v>2.5760000000000001</v>
      </c>
      <c r="J357" s="71">
        <v>2.5539999999999998</v>
      </c>
      <c r="K357" s="71">
        <v>2.7080000000000002</v>
      </c>
      <c r="L357" s="67"/>
    </row>
    <row r="358" spans="1:12" ht="15.75" thickBot="1">
      <c r="A358" s="68" t="s">
        <v>442</v>
      </c>
      <c r="B358" s="69" t="s">
        <v>462</v>
      </c>
      <c r="C358" s="69" t="s">
        <v>461</v>
      </c>
      <c r="D358" s="70">
        <v>3.39</v>
      </c>
      <c r="E358" s="70">
        <v>4.6589999999999998</v>
      </c>
      <c r="F358" s="71">
        <v>2.2000000000000002</v>
      </c>
      <c r="G358" s="71">
        <v>1.7</v>
      </c>
      <c r="H358" s="71">
        <v>1.7</v>
      </c>
      <c r="I358" s="71">
        <v>1.8</v>
      </c>
      <c r="J358" s="71">
        <v>1.8</v>
      </c>
      <c r="K358" s="71">
        <v>1.9</v>
      </c>
      <c r="L358" s="67"/>
    </row>
    <row r="359" spans="1:12" ht="15.75" thickBot="1">
      <c r="A359" s="68" t="s">
        <v>539</v>
      </c>
      <c r="B359" s="69" t="s">
        <v>460</v>
      </c>
      <c r="C359" s="69" t="s">
        <v>461</v>
      </c>
      <c r="D359" s="70">
        <v>2.391</v>
      </c>
      <c r="E359" s="70">
        <v>1.8080000000000001</v>
      </c>
      <c r="F359" s="71">
        <v>2.17</v>
      </c>
      <c r="G359" s="71">
        <v>2.1160000000000001</v>
      </c>
      <c r="H359" s="71">
        <v>2.9369999999999998</v>
      </c>
      <c r="I359" s="71">
        <v>3.3570000000000002</v>
      </c>
      <c r="J359" s="71">
        <v>3.41</v>
      </c>
      <c r="K359" s="71">
        <v>3.3290000000000002</v>
      </c>
      <c r="L359" s="67"/>
    </row>
    <row r="360" spans="1:12" ht="15.75" thickBot="1">
      <c r="A360" s="68" t="s">
        <v>539</v>
      </c>
      <c r="B360" s="69" t="s">
        <v>462</v>
      </c>
      <c r="C360" s="69" t="s">
        <v>461</v>
      </c>
      <c r="D360" s="70">
        <v>1.679</v>
      </c>
      <c r="E360" s="70">
        <v>3.077</v>
      </c>
      <c r="F360" s="71">
        <v>1.583</v>
      </c>
      <c r="G360" s="71">
        <v>1.8320000000000001</v>
      </c>
      <c r="H360" s="71">
        <v>1.7390000000000001</v>
      </c>
      <c r="I360" s="71">
        <v>1.9119999999999999</v>
      </c>
      <c r="J360" s="71">
        <v>2.1080000000000001</v>
      </c>
      <c r="K360" s="71">
        <v>1.8280000000000001</v>
      </c>
      <c r="L360" s="67"/>
    </row>
    <row r="361" spans="1:12" ht="15.75" thickBot="1">
      <c r="A361" s="68" t="s">
        <v>448</v>
      </c>
      <c r="B361" s="69" t="s">
        <v>460</v>
      </c>
      <c r="C361" s="69" t="s">
        <v>461</v>
      </c>
      <c r="D361" s="70">
        <v>8.8949999999999996</v>
      </c>
      <c r="E361" s="71">
        <v>5.7</v>
      </c>
      <c r="F361" s="71">
        <v>3.5</v>
      </c>
      <c r="G361" s="71">
        <v>4</v>
      </c>
      <c r="H361" s="71">
        <v>4.0010000000000003</v>
      </c>
      <c r="I361" s="71">
        <v>4</v>
      </c>
      <c r="J361" s="71">
        <v>4</v>
      </c>
      <c r="K361" s="71">
        <v>4</v>
      </c>
      <c r="L361" s="67"/>
    </row>
    <row r="362" spans="1:12" ht="15.75" thickBot="1">
      <c r="A362" s="68" t="s">
        <v>448</v>
      </c>
      <c r="B362" s="69" t="s">
        <v>462</v>
      </c>
      <c r="C362" s="69" t="s">
        <v>461</v>
      </c>
      <c r="D362" s="70">
        <v>6.9290000000000003</v>
      </c>
      <c r="E362" s="71">
        <v>8.6</v>
      </c>
      <c r="F362" s="71">
        <v>8</v>
      </c>
      <c r="G362" s="71">
        <v>7.282</v>
      </c>
      <c r="H362" s="71">
        <v>6.5369999999999999</v>
      </c>
      <c r="I362" s="71">
        <v>6.0090000000000003</v>
      </c>
      <c r="J362" s="71">
        <v>5.9560000000000004</v>
      </c>
      <c r="K362" s="71">
        <v>6.0090000000000003</v>
      </c>
      <c r="L362" s="67"/>
    </row>
    <row r="363" spans="1:12" ht="15.75" thickBot="1">
      <c r="A363" s="68" t="s">
        <v>540</v>
      </c>
      <c r="B363" s="69" t="s">
        <v>460</v>
      </c>
      <c r="C363" s="69" t="s">
        <v>461</v>
      </c>
      <c r="D363" s="70">
        <v>8.5</v>
      </c>
      <c r="E363" s="70">
        <v>8.3000000000000007</v>
      </c>
      <c r="F363" s="71">
        <v>7.3639999999999999</v>
      </c>
      <c r="G363" s="71">
        <v>6.5</v>
      </c>
      <c r="H363" s="71">
        <v>6.5</v>
      </c>
      <c r="I363" s="71">
        <v>6</v>
      </c>
      <c r="J363" s="71">
        <v>6</v>
      </c>
      <c r="K363" s="71">
        <v>5.5</v>
      </c>
      <c r="L363" s="67"/>
    </row>
    <row r="364" spans="1:12" ht="15.75" thickBot="1">
      <c r="A364" s="68" t="s">
        <v>540</v>
      </c>
      <c r="B364" s="69" t="s">
        <v>462</v>
      </c>
      <c r="C364" s="69" t="s">
        <v>461</v>
      </c>
      <c r="D364" s="70">
        <v>12.054</v>
      </c>
      <c r="E364" s="70">
        <v>13.295999999999999</v>
      </c>
      <c r="F364" s="71">
        <v>11</v>
      </c>
      <c r="G364" s="71">
        <v>11</v>
      </c>
      <c r="H364" s="71">
        <v>11</v>
      </c>
      <c r="I364" s="71">
        <v>11</v>
      </c>
      <c r="J364" s="71">
        <v>11</v>
      </c>
      <c r="K364" s="71">
        <v>11</v>
      </c>
      <c r="L364" s="67"/>
    </row>
    <row r="365" spans="1:12" ht="15.75" thickBot="1">
      <c r="A365" s="68" t="s">
        <v>541</v>
      </c>
      <c r="B365" s="69" t="s">
        <v>460</v>
      </c>
      <c r="C365" s="69" t="s">
        <v>461</v>
      </c>
      <c r="D365" s="71">
        <v>1.526</v>
      </c>
      <c r="E365" s="71">
        <v>2.5249999999999999</v>
      </c>
      <c r="F365" s="71">
        <v>2.6179999999999999</v>
      </c>
      <c r="G365" s="71">
        <v>4.2969999999999997</v>
      </c>
      <c r="H365" s="71">
        <v>4.3</v>
      </c>
      <c r="I365" s="71">
        <v>4</v>
      </c>
      <c r="J365" s="71">
        <v>4</v>
      </c>
      <c r="K365" s="71">
        <v>4</v>
      </c>
      <c r="L365" s="67"/>
    </row>
    <row r="366" spans="1:12" ht="15.75" thickBot="1">
      <c r="A366" s="68" t="s">
        <v>541</v>
      </c>
      <c r="B366" s="69" t="s">
        <v>462</v>
      </c>
      <c r="C366" s="69" t="s">
        <v>461</v>
      </c>
      <c r="D366" s="70">
        <v>3.4460000000000002</v>
      </c>
      <c r="E366" s="71">
        <v>1.202</v>
      </c>
      <c r="F366" s="71">
        <v>2.2400000000000002</v>
      </c>
      <c r="G366" s="71">
        <v>2.9620000000000002</v>
      </c>
      <c r="H366" s="71">
        <v>2.98</v>
      </c>
      <c r="I366" s="71">
        <v>2.98</v>
      </c>
      <c r="J366" s="71">
        <v>2.98</v>
      </c>
      <c r="K366" s="71">
        <v>2.98</v>
      </c>
      <c r="L366" s="67"/>
    </row>
    <row r="367" spans="1:12" ht="15.75" thickBot="1">
      <c r="A367" s="68" t="s">
        <v>449</v>
      </c>
      <c r="B367" s="69" t="s">
        <v>460</v>
      </c>
      <c r="C367" s="69" t="s">
        <v>461</v>
      </c>
      <c r="D367" s="70">
        <v>-1.4890000000000001</v>
      </c>
      <c r="E367" s="71">
        <v>4.1760000000000002</v>
      </c>
      <c r="F367" s="71">
        <v>5.7489999999999997</v>
      </c>
      <c r="G367" s="71">
        <v>3.258</v>
      </c>
      <c r="H367" s="71">
        <v>3.3839999999999999</v>
      </c>
      <c r="I367" s="71">
        <v>2.907</v>
      </c>
      <c r="J367" s="71">
        <v>2.8490000000000002</v>
      </c>
      <c r="K367" s="71">
        <v>2.5009999999999999</v>
      </c>
      <c r="L367" s="67"/>
    </row>
    <row r="368" spans="1:12" ht="15.75" thickBot="1">
      <c r="A368" s="68" t="s">
        <v>449</v>
      </c>
      <c r="B368" s="69" t="s">
        <v>462</v>
      </c>
      <c r="C368" s="69" t="s">
        <v>461</v>
      </c>
      <c r="D368" s="70">
        <v>27.184000000000001</v>
      </c>
      <c r="E368" s="71">
        <v>27.57</v>
      </c>
      <c r="F368" s="71">
        <v>22</v>
      </c>
      <c r="G368" s="71">
        <v>29.2</v>
      </c>
      <c r="H368" s="71">
        <v>28.3</v>
      </c>
      <c r="I368" s="71">
        <v>27.7</v>
      </c>
      <c r="J368" s="71">
        <v>27.4</v>
      </c>
      <c r="K368" s="71">
        <v>27.1</v>
      </c>
      <c r="L368" s="67"/>
    </row>
    <row r="369" spans="1:12" ht="15.75" thickBot="1">
      <c r="A369" s="68" t="s">
        <v>450</v>
      </c>
      <c r="B369" s="69" t="s">
        <v>460</v>
      </c>
      <c r="C369" s="69" t="s">
        <v>461</v>
      </c>
      <c r="D369" s="70">
        <v>6.7839999999999998</v>
      </c>
      <c r="E369" s="70">
        <v>5.8849999999999998</v>
      </c>
      <c r="F369" s="71">
        <v>5.1139999999999999</v>
      </c>
      <c r="G369" s="71">
        <v>5.8769999999999998</v>
      </c>
      <c r="H369" s="71">
        <v>6.42</v>
      </c>
      <c r="I369" s="71">
        <v>6.7590000000000003</v>
      </c>
      <c r="J369" s="71">
        <v>7.2</v>
      </c>
      <c r="K369" s="71">
        <v>7.5</v>
      </c>
      <c r="L369" s="67"/>
    </row>
    <row r="370" spans="1:12" ht="15.75" thickBot="1">
      <c r="A370" s="68" t="s">
        <v>450</v>
      </c>
      <c r="B370" s="69" t="s">
        <v>462</v>
      </c>
      <c r="C370" s="69" t="s">
        <v>461</v>
      </c>
      <c r="D370" s="70">
        <v>11.747999999999999</v>
      </c>
      <c r="E370" s="70">
        <v>18.126999999999999</v>
      </c>
      <c r="F370" s="71">
        <v>4.4850000000000003</v>
      </c>
      <c r="G370" s="71">
        <v>5.5519999999999996</v>
      </c>
      <c r="H370" s="71">
        <v>5.3</v>
      </c>
      <c r="I370" s="71">
        <v>5</v>
      </c>
      <c r="J370" s="71">
        <v>5</v>
      </c>
      <c r="K370" s="71">
        <v>5</v>
      </c>
      <c r="L370" s="67"/>
    </row>
    <row r="371" spans="1:12" ht="15.75" thickBot="1">
      <c r="A371" s="68" t="s">
        <v>542</v>
      </c>
      <c r="B371" s="69" t="s">
        <v>460</v>
      </c>
      <c r="C371" s="69" t="s">
        <v>461</v>
      </c>
      <c r="D371" s="71">
        <v>7.702</v>
      </c>
      <c r="E371" s="71">
        <v>-10.48</v>
      </c>
      <c r="F371" s="71">
        <v>-1.9430000000000001</v>
      </c>
      <c r="G371" s="71">
        <v>4.0810000000000004</v>
      </c>
      <c r="H371" s="71">
        <v>4.157</v>
      </c>
      <c r="I371" s="71">
        <v>4.6619999999999999</v>
      </c>
      <c r="J371" s="71">
        <v>4.7489999999999997</v>
      </c>
      <c r="K371" s="71">
        <v>4.8079999999999998</v>
      </c>
      <c r="L371" s="67"/>
    </row>
    <row r="372" spans="1:12" ht="15.75" thickBot="1">
      <c r="A372" s="68" t="s">
        <v>542</v>
      </c>
      <c r="B372" s="69" t="s">
        <v>462</v>
      </c>
      <c r="C372" s="69" t="s">
        <v>461</v>
      </c>
      <c r="D372" s="71">
        <v>12.486000000000001</v>
      </c>
      <c r="E372" s="71">
        <v>23.172999999999998</v>
      </c>
      <c r="F372" s="71">
        <v>13.956</v>
      </c>
      <c r="G372" s="71">
        <v>11.459</v>
      </c>
      <c r="H372" s="71">
        <v>9.5559999999999992</v>
      </c>
      <c r="I372" s="71">
        <v>8.0180000000000007</v>
      </c>
      <c r="J372" s="71">
        <v>7.3490000000000002</v>
      </c>
      <c r="K372" s="71">
        <v>6.9320000000000004</v>
      </c>
      <c r="L372" s="67"/>
    </row>
    <row r="373" spans="1:12" ht="15.75" thickBot="1">
      <c r="A373" s="68" t="s">
        <v>454</v>
      </c>
      <c r="B373" s="69" t="s">
        <v>460</v>
      </c>
      <c r="C373" s="69" t="s">
        <v>461</v>
      </c>
      <c r="D373" s="70">
        <v>7.62</v>
      </c>
      <c r="E373" s="70">
        <v>6.5650000000000004</v>
      </c>
      <c r="F373" s="71">
        <v>6.468</v>
      </c>
      <c r="G373" s="71">
        <v>8.1880000000000006</v>
      </c>
      <c r="H373" s="71">
        <v>7.7869999999999999</v>
      </c>
      <c r="I373" s="71">
        <v>7.8949999999999996</v>
      </c>
      <c r="J373" s="71">
        <v>7.9</v>
      </c>
      <c r="K373" s="71">
        <v>7.7030000000000003</v>
      </c>
      <c r="L373" s="67"/>
    </row>
    <row r="374" spans="1:12" ht="15.75" thickBot="1">
      <c r="A374" s="68" t="s">
        <v>454</v>
      </c>
      <c r="B374" s="69" t="s">
        <v>462</v>
      </c>
      <c r="C374" s="69" t="s">
        <v>461</v>
      </c>
      <c r="D374" s="70">
        <v>7.9</v>
      </c>
      <c r="E374" s="70">
        <v>7.2</v>
      </c>
      <c r="F374" s="71">
        <v>6.726</v>
      </c>
      <c r="G374" s="71">
        <v>6.1079999999999997</v>
      </c>
      <c r="H374" s="71">
        <v>5</v>
      </c>
      <c r="I374" s="71">
        <v>5</v>
      </c>
      <c r="J374" s="71">
        <v>5</v>
      </c>
      <c r="K374" s="71">
        <v>5</v>
      </c>
      <c r="L374" s="67"/>
    </row>
    <row r="375" spans="1:12" ht="15.75" thickBot="1">
      <c r="A375" s="68" t="s">
        <v>543</v>
      </c>
      <c r="B375" s="69" t="s">
        <v>460</v>
      </c>
      <c r="C375" s="69" t="s">
        <v>461</v>
      </c>
      <c r="D375" s="71">
        <v>9.6199999999999992</v>
      </c>
      <c r="E375" s="71">
        <v>9.3780000000000001</v>
      </c>
      <c r="F375" s="71">
        <v>5.016</v>
      </c>
      <c r="G375" s="71">
        <v>6.0149999999999997</v>
      </c>
      <c r="H375" s="71">
        <v>5.0019999999999998</v>
      </c>
      <c r="I375" s="71">
        <v>4.4580000000000002</v>
      </c>
      <c r="J375" s="71">
        <v>3.9660000000000002</v>
      </c>
      <c r="K375" s="71">
        <v>3.9849999999999999</v>
      </c>
      <c r="L375" s="67"/>
    </row>
    <row r="376" spans="1:12" ht="15.75" thickBot="1">
      <c r="A376" s="72" t="s">
        <v>543</v>
      </c>
      <c r="B376" s="73" t="s">
        <v>462</v>
      </c>
      <c r="C376" s="73" t="s">
        <v>461</v>
      </c>
      <c r="D376" s="74">
        <v>3.2170000000000001</v>
      </c>
      <c r="E376" s="75">
        <v>4.92</v>
      </c>
      <c r="F376" s="75">
        <v>6.5220000000000002</v>
      </c>
      <c r="G376" s="75">
        <v>4.3319999999999999</v>
      </c>
      <c r="H376" s="75">
        <v>4.282</v>
      </c>
      <c r="I376" s="75">
        <v>4.4939999999999998</v>
      </c>
      <c r="J376" s="75">
        <v>4.5739999999999998</v>
      </c>
      <c r="K376" s="75">
        <v>4.5880000000000001</v>
      </c>
      <c r="L376" s="76"/>
    </row>
  </sheetData>
  <mergeCells count="1">
    <mergeCell ref="A3:L3"/>
  </mergeCells>
  <pageMargins left="0.7" right="0.7" top="0.78740157499999996" bottom="0.78740157499999996"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Company</vt:lpstr>
      <vt:lpstr>Valuation</vt:lpstr>
      <vt:lpstr>Risk</vt:lpstr>
      <vt:lpstr>1.INTIMATES</vt:lpstr>
      <vt:lpstr>2.INSTITUTIONAL</vt:lpstr>
      <vt:lpstr>3. LICENCE IP</vt:lpstr>
      <vt:lpstr>Other methods</vt:lpstr>
      <vt:lpstr>EQRP</vt:lpstr>
      <vt:lpstr>INF</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Passoni</dc:creator>
  <cp:lastModifiedBy>j</cp:lastModifiedBy>
  <dcterms:created xsi:type="dcterms:W3CDTF">2016-01-08T20:50:37Z</dcterms:created>
  <dcterms:modified xsi:type="dcterms:W3CDTF">2017-03-13T20:58:34Z</dcterms:modified>
</cp:coreProperties>
</file>